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19\Исполнение консолидированного бюджета в разрезе ЭК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E47" i="1"/>
  <c r="G43" i="1"/>
  <c r="E43" i="1"/>
  <c r="G40" i="1"/>
  <c r="E40" i="1"/>
  <c r="G31" i="1"/>
  <c r="E31" i="1"/>
  <c r="G29" i="1"/>
  <c r="E29" i="1"/>
  <c r="G28" i="1"/>
  <c r="E28" i="1"/>
  <c r="G27" i="1"/>
  <c r="E27" i="1"/>
  <c r="G26" i="1"/>
  <c r="E26" i="1"/>
  <c r="G24" i="1"/>
  <c r="E24" i="1"/>
  <c r="G23" i="1"/>
  <c r="E23" i="1"/>
  <c r="G17" i="1"/>
  <c r="E17" i="1"/>
  <c r="E15" i="1" s="1"/>
  <c r="D43" i="1"/>
  <c r="C43" i="1"/>
  <c r="D40" i="1"/>
  <c r="C40" i="1"/>
  <c r="D29" i="1"/>
  <c r="C29" i="1"/>
  <c r="D28" i="1"/>
  <c r="C28" i="1"/>
  <c r="D27" i="1"/>
  <c r="C27" i="1"/>
  <c r="D26" i="1"/>
  <c r="C26" i="1"/>
  <c r="D23" i="1"/>
  <c r="C23" i="1"/>
  <c r="D17" i="1"/>
  <c r="C17" i="1"/>
  <c r="D48" i="1"/>
  <c r="C48" i="1"/>
  <c r="D46" i="1"/>
  <c r="C46" i="1"/>
  <c r="D42" i="1"/>
  <c r="C42" i="1"/>
  <c r="D39" i="1"/>
  <c r="C39" i="1"/>
  <c r="D32" i="1"/>
  <c r="C32" i="1"/>
  <c r="C25" i="1"/>
  <c r="D19" i="1"/>
  <c r="C19" i="1"/>
  <c r="D15" i="1"/>
  <c r="C15" i="1"/>
  <c r="D13" i="1"/>
  <c r="C13" i="1"/>
  <c r="D5" i="1"/>
  <c r="C5" i="1"/>
  <c r="E19" i="1"/>
  <c r="E13" i="1"/>
  <c r="E5" i="1"/>
  <c r="E25" i="1" l="1"/>
  <c r="D25" i="1"/>
  <c r="I6" i="1"/>
  <c r="H6" i="1"/>
  <c r="H31" i="1" l="1"/>
  <c r="G30" i="1"/>
  <c r="D30" i="1"/>
  <c r="C30" i="1"/>
  <c r="E30" i="1"/>
  <c r="H30" i="1" l="1"/>
  <c r="I53" i="1"/>
  <c r="H53" i="1"/>
  <c r="I52" i="1"/>
  <c r="H52" i="1"/>
  <c r="I50" i="1"/>
  <c r="H50" i="1"/>
  <c r="I49" i="1"/>
  <c r="H49" i="1"/>
  <c r="I47" i="1"/>
  <c r="H47" i="1"/>
  <c r="I45" i="1"/>
  <c r="H45" i="1"/>
  <c r="I44" i="1"/>
  <c r="H44" i="1"/>
  <c r="I43" i="1"/>
  <c r="H43" i="1"/>
  <c r="I41" i="1"/>
  <c r="I40" i="1"/>
  <c r="H40" i="1"/>
  <c r="I38" i="1"/>
  <c r="H38" i="1"/>
  <c r="I37" i="1"/>
  <c r="H37" i="1"/>
  <c r="H35" i="1"/>
  <c r="I34" i="1"/>
  <c r="H34" i="1"/>
  <c r="I33" i="1"/>
  <c r="H33" i="1"/>
  <c r="H29" i="1"/>
  <c r="I28" i="1"/>
  <c r="H28" i="1"/>
  <c r="I27" i="1"/>
  <c r="H27" i="1"/>
  <c r="I26" i="1"/>
  <c r="H26" i="1"/>
  <c r="I24" i="1"/>
  <c r="H24" i="1"/>
  <c r="I23" i="1"/>
  <c r="H23" i="1"/>
  <c r="H22" i="1"/>
  <c r="I21" i="1"/>
  <c r="H21" i="1"/>
  <c r="I17" i="1"/>
  <c r="H17" i="1"/>
  <c r="I16" i="1"/>
  <c r="H16" i="1"/>
  <c r="I14" i="1"/>
  <c r="H14" i="1"/>
  <c r="I12" i="1"/>
  <c r="H12" i="1"/>
  <c r="H11" i="1"/>
  <c r="I8" i="1"/>
  <c r="H8" i="1"/>
  <c r="I7" i="1"/>
  <c r="H7" i="1"/>
  <c r="D51" i="1"/>
  <c r="D54" i="1" s="1"/>
  <c r="C51" i="1"/>
  <c r="C54" i="1" s="1"/>
  <c r="F53" i="1" l="1"/>
  <c r="F52" i="1"/>
  <c r="F50" i="1"/>
  <c r="F49" i="1"/>
  <c r="F47" i="1"/>
  <c r="F45" i="1"/>
  <c r="F44" i="1"/>
  <c r="F43" i="1"/>
  <c r="F41" i="1"/>
  <c r="F40" i="1"/>
  <c r="F38" i="1"/>
  <c r="F37" i="1"/>
  <c r="F36" i="1"/>
  <c r="F35" i="1"/>
  <c r="F34" i="1"/>
  <c r="F33" i="1"/>
  <c r="F29" i="1"/>
  <c r="F28" i="1"/>
  <c r="F27" i="1"/>
  <c r="F26" i="1"/>
  <c r="F24" i="1"/>
  <c r="F23" i="1"/>
  <c r="F22" i="1"/>
  <c r="F21" i="1"/>
  <c r="F20" i="1"/>
  <c r="F18" i="1"/>
  <c r="F17" i="1"/>
  <c r="F16" i="1"/>
  <c r="F14" i="1"/>
  <c r="F12" i="1"/>
  <c r="F11" i="1"/>
  <c r="F10" i="1"/>
  <c r="F8" i="1"/>
  <c r="F7" i="1"/>
  <c r="E51" i="1" l="1"/>
  <c r="F51" i="1" s="1"/>
  <c r="G51" i="1"/>
  <c r="I51" i="1" l="1"/>
  <c r="H51" i="1"/>
  <c r="G48" i="1"/>
  <c r="I48" i="1" s="1"/>
  <c r="G46" i="1"/>
  <c r="I46" i="1" s="1"/>
  <c r="G42" i="1"/>
  <c r="I42" i="1" s="1"/>
  <c r="G39" i="1"/>
  <c r="I39" i="1" s="1"/>
  <c r="G32" i="1"/>
  <c r="I32" i="1" s="1"/>
  <c r="G25" i="1"/>
  <c r="I25" i="1" s="1"/>
  <c r="G19" i="1"/>
  <c r="I19" i="1" s="1"/>
  <c r="G15" i="1"/>
  <c r="I15" i="1" s="1"/>
  <c r="G13" i="1"/>
  <c r="I13" i="1" s="1"/>
  <c r="G5" i="1"/>
  <c r="I5" i="1" s="1"/>
  <c r="E48" i="1"/>
  <c r="E46" i="1"/>
  <c r="E42" i="1"/>
  <c r="E39" i="1"/>
  <c r="E32" i="1"/>
  <c r="E54" i="1" l="1"/>
  <c r="G54" i="1"/>
  <c r="I54" i="1" s="1"/>
  <c r="F48" i="1"/>
  <c r="H48" i="1"/>
  <c r="F46" i="1"/>
  <c r="H46" i="1"/>
  <c r="F42" i="1"/>
  <c r="H42" i="1"/>
  <c r="F39" i="1"/>
  <c r="H39" i="1"/>
  <c r="F32" i="1"/>
  <c r="H32" i="1"/>
  <c r="F25" i="1"/>
  <c r="H25" i="1"/>
  <c r="F19" i="1"/>
  <c r="H19" i="1"/>
  <c r="F15" i="1"/>
  <c r="H15" i="1"/>
  <c r="F13" i="1"/>
  <c r="H13" i="1"/>
  <c r="F5" i="1"/>
  <c r="H5" i="1"/>
  <c r="F54" i="1" l="1"/>
  <c r="H54" i="1"/>
</calcChain>
</file>

<file path=xl/sharedStrings.xml><?xml version="1.0" encoding="utf-8"?>
<sst xmlns="http://schemas.openxmlformats.org/spreadsheetml/2006/main" count="111" uniqueCount="111">
  <si>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</si>
  <si>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</si>
  <si>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</si>
  <si>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</si>
  <si>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</si>
  <si>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</si>
  <si>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</si>
  <si>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</si>
  <si>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</si>
  <si>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</si>
  <si>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</si>
  <si>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</si>
  <si>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</si>
  <si>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</si>
  <si>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</si>
  <si>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</si>
  <si>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</si>
  <si>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</si>
  <si>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</si>
  <si>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</si>
  <si>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</si>
  <si>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</si>
  <si>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</si>
  <si>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</si>
  <si>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</si>
  <si>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</si>
  <si>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</si>
  <si>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</si>
  <si>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</si>
  <si>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</si>
  <si>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</si>
  <si>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</si>
  <si>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</si>
  <si>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</si>
  <si>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</si>
  <si>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</si>
  <si>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</si>
  <si>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</si>
  <si>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</si>
  <si>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</si>
  <si>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</si>
  <si>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</si>
  <si>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</si>
  <si>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</si>
  <si>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</si>
  <si>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</si>
  <si>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</si>
  <si>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</si>
  <si>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</si>
  <si>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</si>
  <si>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</si>
  <si>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</si>
  <si>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</si>
  <si>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</si>
  <si>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</si>
  <si>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</si>
  <si>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</si>
  <si>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</si>
  <si>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</si>
  <si>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</si>
  <si>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</si>
  <si>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</si>
  <si>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</si>
  <si>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</si>
  <si>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</si>
  <si>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</si>
  <si>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</si>
  <si>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</si>
  <si>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</si>
  <si>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</si>
  <si>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</si>
  <si>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</si>
  <si>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</si>
  <si>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</si>
  <si>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</si>
  <si>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</si>
  <si>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</si>
  <si>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</si>
  <si>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</si>
  <si>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</si>
  <si>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</si>
  <si>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</si>
  <si>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</si>
  <si>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</si>
  <si>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</si>
  <si>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</si>
  <si>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</si>
  <si>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</si>
  <si>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</si>
  <si>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</si>
  <si>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</si>
  <si>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</si>
  <si>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</si>
  <si>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</si>
  <si>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</si>
  <si>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</si>
  <si>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</si>
  <si>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Уточненный план  на  2018 год</t>
  </si>
  <si>
    <t>Текущий план на 1 квартал 2018 года</t>
  </si>
  <si>
    <t xml:space="preserve">% исполнения текущего плана </t>
  </si>
  <si>
    <t>Уточненный план  на  2019 год</t>
  </si>
  <si>
    <t>Темп роста 2019 года к 2018 году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</si>
  <si>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</si>
  <si>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</si>
  <si>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</si>
  <si>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</si>
  <si>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реформа</t>
  </si>
  <si>
    <t>0105</t>
  </si>
  <si>
    <t>Исполнено за 2018 года</t>
  </si>
  <si>
    <t>Исполнено за 2019 года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</si>
  <si>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2019 года в сравнении с  аналогичным периодом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</si>
</sst>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shrinkToFit="1"/>
    </xf>
    <xf numFmtId="4" fontId="6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4" fontId="0" fillId="2" borderId="1" xfId="0" applyNumberFormat="1" applyFill="1" applyBorder="1"/>
    <xf numFmtId="4" fontId="0" fillId="2" borderId="1" xfId="0" applyNumberFormat="1" applyFont="1" applyFill="1" applyBorder="1"/>
    <xf numFmtId="4" fontId="7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 vertical="center" shrinkToFit="1"/>
    </xf>
    <xf numFmtId="4" fontId="8" fillId="2" borderId="1" xfId="0" applyNumberFormat="1" applyFont="1" applyFill="1" applyBorder="1"/>
    <xf numFmtId="0" fontId="8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zoomScale="80" zoomScaleNormal="100" zoomScaleSheetLayoutView="80" workbookViewId="0">
      <selection activeCell="G10" sqref="G10"/>
    </sheetView>
  </sheetViews>
  <sheetFormatPr defaultRowHeight="12.75" x14ac:dyDescent="0.2"/>
  <cols>
    <col min="1" max="1" width="53.6640625" style="3" customWidth="1"/>
    <col min="2" max="2" width="14.33203125" style="3" customWidth="1"/>
    <col min="3" max="4" width="21.83203125" style="3" customWidth="1"/>
    <col min="5" max="5" width="15.5" style="4" customWidth="1"/>
    <col min="6" max="6" width="13.83203125" style="4" hidden="1" customWidth="1"/>
    <col min="7" max="7" width="16" style="4" customWidth="1"/>
    <col min="8" max="8" width="15.5" style="5" customWidth="1"/>
    <col min="9" max="9" width="13" style="2" customWidth="1"/>
    <col min="10" max="10" width="12.1640625" style="2" bestFit="1" customWidth="1"/>
    <col min="11" max="16384" width="9.33203125" style="2"/>
  </cols>
  <sheetData>
    <row r="1" spans="1:9" x14ac:dyDescent="0.2">
      <c r="A1" s="20" t="s">
        <v>0</v>
      </c>
      <c r="B1" s="20"/>
      <c r="C1" s="20"/>
      <c r="D1" s="20"/>
      <c r="E1" s="20"/>
      <c r="F1" s="20"/>
      <c r="G1" s="20"/>
      <c r="H1" s="20"/>
    </row>
    <row r="2" spans="1:9" ht="37.5" customHeight="1" x14ac:dyDescent="0.2">
      <c r="A2" s="20" t="s">
        <v>110</v>
      </c>
      <c r="B2" s="20"/>
      <c r="C2" s="20"/>
      <c r="D2" s="20"/>
      <c r="E2" s="20"/>
      <c r="F2" s="20"/>
      <c r="G2" s="20"/>
      <c r="H2" s="20"/>
    </row>
    <row r="3" spans="1:9" x14ac:dyDescent="0.2">
      <c r="A3" s="3" t="s">
        <v>1</v>
      </c>
    </row>
    <row r="4" spans="1:9" ht="45.75" customHeight="1" x14ac:dyDescent="0.2">
      <c r="A4" s="6" t="s">
        <v>2</v>
      </c>
      <c r="B4" s="7" t="s">
        <v>3</v>
      </c>
      <c r="C4" s="8" t="s">
        <v>97</v>
      </c>
      <c r="D4" s="8" t="s">
        <v>108</v>
      </c>
      <c r="E4" s="8" t="s">
        <v>100</v>
      </c>
      <c r="F4" s="8" t="s">
        <v>98</v>
      </c>
      <c r="G4" s="8" t="s">
        <v>109</v>
      </c>
      <c r="H4" s="8" t="s">
        <v>99</v>
      </c>
      <c r="I4" s="8" t="s">
        <v>101</v>
      </c>
    </row>
    <row r="5" spans="1:9" ht="15" x14ac:dyDescent="0.25">
      <c r="A5" s="9" t="s">
        <v>4</v>
      </c>
      <c r="B5" s="10" t="s">
        <v>5</v>
      </c>
      <c r="C5" s="11">
        <f>SUM(C6:C12)</f>
        <v>171755.06</v>
      </c>
      <c r="D5" s="11">
        <f>SUM(D6:D12)</f>
        <v>167189.95514999999</v>
      </c>
      <c r="E5" s="11">
        <f>SUM(E6:E12)</f>
        <v>206647.84875</v>
      </c>
      <c r="F5" s="11">
        <f>E5/4</f>
        <v>51661.962187500001</v>
      </c>
      <c r="G5" s="11">
        <f>SUM(G6:G12)</f>
        <v>193938.11310000002</v>
      </c>
      <c r="H5" s="12">
        <f>G5/E5*100</f>
        <v>93.849567887166302</v>
      </c>
      <c r="I5" s="13">
        <f>G5/D5*100</f>
        <v>115.99866327256446</v>
      </c>
    </row>
    <row r="6" spans="1:9" ht="45" x14ac:dyDescent="0.25">
      <c r="A6" s="7" t="s">
        <v>94</v>
      </c>
      <c r="B6" s="10" t="s">
        <v>93</v>
      </c>
      <c r="C6" s="14">
        <v>14073.617</v>
      </c>
      <c r="D6" s="15">
        <v>13972.51</v>
      </c>
      <c r="E6" s="15">
        <v>16633.588779999998</v>
      </c>
      <c r="F6" s="16">
        <v>7409.3770000000004</v>
      </c>
      <c r="G6" s="15">
        <v>16458.171760000001</v>
      </c>
      <c r="H6" s="12">
        <f>G6/E6*100</f>
        <v>98.945404853275463</v>
      </c>
      <c r="I6" s="13">
        <f>G6/D6*100</f>
        <v>117.7896581215544</v>
      </c>
    </row>
    <row r="7" spans="1:9" ht="60" x14ac:dyDescent="0.25">
      <c r="A7" s="7" t="s">
        <v>6</v>
      </c>
      <c r="B7" s="10" t="s">
        <v>7</v>
      </c>
      <c r="C7" s="14">
        <v>4190.3</v>
      </c>
      <c r="D7" s="15">
        <v>4132.1236500000005</v>
      </c>
      <c r="E7" s="15">
        <v>4947</v>
      </c>
      <c r="F7" s="16">
        <f t="shared" ref="F7:F54" si="0">E7/4</f>
        <v>1236.75</v>
      </c>
      <c r="G7" s="15">
        <v>4213.6120600000004</v>
      </c>
      <c r="H7" s="12">
        <f t="shared" ref="H7:H54" si="1">G7/E7*100</f>
        <v>85.175097230644852</v>
      </c>
      <c r="I7" s="13">
        <f t="shared" ref="I7:I54" si="2">G7/D7*100</f>
        <v>101.97207094710245</v>
      </c>
    </row>
    <row r="8" spans="1:9" ht="60" x14ac:dyDescent="0.25">
      <c r="A8" s="7" t="s">
        <v>8</v>
      </c>
      <c r="B8" s="10" t="s">
        <v>9</v>
      </c>
      <c r="C8" s="14">
        <v>129384.198</v>
      </c>
      <c r="D8" s="15">
        <v>127000.51794000001</v>
      </c>
      <c r="E8" s="15">
        <v>148711.83121</v>
      </c>
      <c r="F8" s="16">
        <f t="shared" si="0"/>
        <v>37177.957802500001</v>
      </c>
      <c r="G8" s="15">
        <v>140147.49638999999</v>
      </c>
      <c r="H8" s="12">
        <f t="shared" si="1"/>
        <v>94.240986241433546</v>
      </c>
      <c r="I8" s="13">
        <f t="shared" si="2"/>
        <v>110.35190931757548</v>
      </c>
    </row>
    <row r="9" spans="1:9" ht="15" x14ac:dyDescent="0.25">
      <c r="A9" s="7" t="s">
        <v>106</v>
      </c>
      <c r="B9" s="10" t="s">
        <v>107</v>
      </c>
      <c r="C9" s="14">
        <v>167.54499999999999</v>
      </c>
      <c r="D9" s="15">
        <v>99.88</v>
      </c>
      <c r="E9" s="15">
        <v>0</v>
      </c>
      <c r="F9" s="16"/>
      <c r="G9" s="15"/>
      <c r="H9" s="12"/>
      <c r="I9" s="13"/>
    </row>
    <row r="10" spans="1:9" ht="30" x14ac:dyDescent="0.25">
      <c r="A10" s="7" t="s">
        <v>10</v>
      </c>
      <c r="B10" s="10" t="s">
        <v>11</v>
      </c>
      <c r="C10" s="14">
        <v>701.9</v>
      </c>
      <c r="D10" s="15">
        <v>701.9</v>
      </c>
      <c r="E10" s="15">
        <v>2136.6999999999998</v>
      </c>
      <c r="F10" s="16">
        <f t="shared" si="0"/>
        <v>534.17499999999995</v>
      </c>
      <c r="G10" s="15">
        <v>2136.6999999999998</v>
      </c>
      <c r="H10" s="12"/>
      <c r="I10" s="13"/>
    </row>
    <row r="11" spans="1:9" ht="15" x14ac:dyDescent="0.25">
      <c r="A11" s="7" t="s">
        <v>12</v>
      </c>
      <c r="B11" s="10" t="s">
        <v>13</v>
      </c>
      <c r="C11" s="14">
        <v>800</v>
      </c>
      <c r="D11" s="15"/>
      <c r="E11" s="15">
        <v>800</v>
      </c>
      <c r="F11" s="16">
        <f t="shared" si="0"/>
        <v>200</v>
      </c>
      <c r="G11" s="15"/>
      <c r="H11" s="12">
        <f t="shared" si="1"/>
        <v>0</v>
      </c>
      <c r="I11" s="13"/>
    </row>
    <row r="12" spans="1:9" ht="15" x14ac:dyDescent="0.25">
      <c r="A12" s="7" t="s">
        <v>14</v>
      </c>
      <c r="B12" s="10" t="s">
        <v>15</v>
      </c>
      <c r="C12" s="14">
        <v>22437.5</v>
      </c>
      <c r="D12" s="15">
        <v>21283.023560000001</v>
      </c>
      <c r="E12" s="15">
        <v>33418.728759999998</v>
      </c>
      <c r="F12" s="16">
        <f t="shared" si="0"/>
        <v>8354.6821899999995</v>
      </c>
      <c r="G12" s="15">
        <v>30982.132890000001</v>
      </c>
      <c r="H12" s="12">
        <f t="shared" si="1"/>
        <v>92.70889121037888</v>
      </c>
      <c r="I12" s="13">
        <f t="shared" si="2"/>
        <v>145.57204620225491</v>
      </c>
    </row>
    <row r="13" spans="1:9" ht="15" x14ac:dyDescent="0.25">
      <c r="A13" s="9" t="s">
        <v>16</v>
      </c>
      <c r="B13" s="10" t="s">
        <v>17</v>
      </c>
      <c r="C13" s="11">
        <f>C14</f>
        <v>1735.3</v>
      </c>
      <c r="D13" s="11">
        <f>D14</f>
        <v>1735.3</v>
      </c>
      <c r="E13" s="11">
        <f>E14</f>
        <v>1853.5</v>
      </c>
      <c r="F13" s="11">
        <f t="shared" si="0"/>
        <v>463.375</v>
      </c>
      <c r="G13" s="11">
        <f>G14</f>
        <v>1853.5</v>
      </c>
      <c r="H13" s="12">
        <f t="shared" si="1"/>
        <v>100</v>
      </c>
      <c r="I13" s="13">
        <f t="shared" si="2"/>
        <v>106.8115023338904</v>
      </c>
    </row>
    <row r="14" spans="1:9" ht="15" x14ac:dyDescent="0.25">
      <c r="A14" s="7" t="s">
        <v>18</v>
      </c>
      <c r="B14" s="10" t="s">
        <v>19</v>
      </c>
      <c r="C14" s="14">
        <v>1735.3</v>
      </c>
      <c r="D14" s="15">
        <v>1735.3</v>
      </c>
      <c r="E14" s="15">
        <v>1853.5</v>
      </c>
      <c r="F14" s="16">
        <f t="shared" si="0"/>
        <v>463.375</v>
      </c>
      <c r="G14" s="15">
        <v>1853.5</v>
      </c>
      <c r="H14" s="12">
        <f t="shared" si="1"/>
        <v>100</v>
      </c>
      <c r="I14" s="13">
        <f t="shared" si="2"/>
        <v>106.8115023338904</v>
      </c>
    </row>
    <row r="15" spans="1:9" ht="42.75" x14ac:dyDescent="0.25">
      <c r="A15" s="9" t="s">
        <v>20</v>
      </c>
      <c r="B15" s="10" t="s">
        <v>21</v>
      </c>
      <c r="C15" s="11">
        <f>SUM(C16:C18)</f>
        <v>21694.929729999996</v>
      </c>
      <c r="D15" s="11">
        <f>SUM(D16:D18)</f>
        <v>21471.073830000001</v>
      </c>
      <c r="E15" s="11">
        <f>SUM(E16:E18)</f>
        <v>19284.26426</v>
      </c>
      <c r="F15" s="11">
        <f t="shared" si="0"/>
        <v>4821.066065</v>
      </c>
      <c r="G15" s="11">
        <f>SUM(G16:G18)</f>
        <v>19122.68766</v>
      </c>
      <c r="H15" s="12">
        <f t="shared" si="1"/>
        <v>99.162132411060412</v>
      </c>
      <c r="I15" s="13">
        <f t="shared" si="2"/>
        <v>89.062558358311975</v>
      </c>
    </row>
    <row r="16" spans="1:9" ht="45" x14ac:dyDescent="0.25">
      <c r="A16" s="7" t="s">
        <v>22</v>
      </c>
      <c r="B16" s="10" t="s">
        <v>23</v>
      </c>
      <c r="C16" s="14">
        <v>3161</v>
      </c>
      <c r="D16" s="15">
        <v>3058.9047099999998</v>
      </c>
      <c r="E16" s="15">
        <v>3426.2</v>
      </c>
      <c r="F16" s="16">
        <f t="shared" si="0"/>
        <v>856.55</v>
      </c>
      <c r="G16" s="15">
        <v>3318.9614099999999</v>
      </c>
      <c r="H16" s="12">
        <f t="shared" si="1"/>
        <v>96.870042904675728</v>
      </c>
      <c r="I16" s="13">
        <f t="shared" si="2"/>
        <v>108.50162802227337</v>
      </c>
    </row>
    <row r="17" spans="1:9" ht="15" x14ac:dyDescent="0.25">
      <c r="A17" s="7" t="s">
        <v>95</v>
      </c>
      <c r="B17" s="10" t="s">
        <v>96</v>
      </c>
      <c r="C17" s="14">
        <f>16372.76773-1177.4</f>
        <v>15195.36773</v>
      </c>
      <c r="D17" s="15">
        <f>16261.69712-1177.4</f>
        <v>15084.297120000001</v>
      </c>
      <c r="E17" s="15">
        <f>16073.48426-215.42</f>
        <v>15858.064259999999</v>
      </c>
      <c r="F17" s="16">
        <f t="shared" si="0"/>
        <v>3964.5160649999998</v>
      </c>
      <c r="G17" s="15">
        <f>16019.14625-215.42</f>
        <v>15803.72625</v>
      </c>
      <c r="H17" s="12">
        <f t="shared" si="1"/>
        <v>99.657347775181734</v>
      </c>
      <c r="I17" s="13">
        <f t="shared" si="2"/>
        <v>104.76939113753016</v>
      </c>
    </row>
    <row r="18" spans="1:9" ht="45" x14ac:dyDescent="0.25">
      <c r="A18" s="7" t="s">
        <v>24</v>
      </c>
      <c r="B18" s="10" t="s">
        <v>25</v>
      </c>
      <c r="C18" s="14">
        <v>3338.5619999999999</v>
      </c>
      <c r="D18" s="15">
        <v>3327.8719999999998</v>
      </c>
      <c r="E18" s="15">
        <v>0</v>
      </c>
      <c r="F18" s="16">
        <f t="shared" si="0"/>
        <v>0</v>
      </c>
      <c r="G18" s="15"/>
      <c r="H18" s="12"/>
      <c r="I18" s="13"/>
    </row>
    <row r="19" spans="1:9" ht="15" x14ac:dyDescent="0.25">
      <c r="A19" s="9" t="s">
        <v>26</v>
      </c>
      <c r="B19" s="10" t="s">
        <v>27</v>
      </c>
      <c r="C19" s="11">
        <f>SUM(C20:C24)</f>
        <v>207993.17528999998</v>
      </c>
      <c r="D19" s="11">
        <f>SUM(D20:D24)</f>
        <v>187191.82865000004</v>
      </c>
      <c r="E19" s="11">
        <f>SUM(E20:E24)</f>
        <v>221526.49328</v>
      </c>
      <c r="F19" s="11">
        <f t="shared" si="0"/>
        <v>55381.623319999999</v>
      </c>
      <c r="G19" s="11">
        <f>SUM(G20:G24)</f>
        <v>195980.00250999999</v>
      </c>
      <c r="H19" s="12">
        <f t="shared" si="1"/>
        <v>88.467974917243723</v>
      </c>
      <c r="I19" s="13">
        <f t="shared" si="2"/>
        <v>104.69474224563058</v>
      </c>
    </row>
    <row r="20" spans="1:9" ht="15" x14ac:dyDescent="0.25">
      <c r="A20" s="7" t="s">
        <v>28</v>
      </c>
      <c r="B20" s="10" t="s">
        <v>29</v>
      </c>
      <c r="C20" s="15">
        <v>250</v>
      </c>
      <c r="D20" s="15">
        <v>118.60888</v>
      </c>
      <c r="E20" s="15">
        <v>0</v>
      </c>
      <c r="F20" s="16">
        <f t="shared" si="0"/>
        <v>0</v>
      </c>
      <c r="G20" s="15"/>
      <c r="H20" s="12"/>
      <c r="I20" s="13"/>
    </row>
    <row r="21" spans="1:9" ht="15" x14ac:dyDescent="0.25">
      <c r="A21" s="7" t="s">
        <v>30</v>
      </c>
      <c r="B21" s="10" t="s">
        <v>31</v>
      </c>
      <c r="C21" s="14">
        <v>10952.3</v>
      </c>
      <c r="D21" s="15">
        <v>7702.5</v>
      </c>
      <c r="E21" s="15">
        <v>8741.6</v>
      </c>
      <c r="F21" s="16">
        <f t="shared" si="0"/>
        <v>2185.4</v>
      </c>
      <c r="G21" s="15">
        <v>7418.9245199999996</v>
      </c>
      <c r="H21" s="12">
        <f t="shared" si="1"/>
        <v>84.869183215887247</v>
      </c>
      <c r="I21" s="13">
        <f t="shared" si="2"/>
        <v>96.318396884128518</v>
      </c>
    </row>
    <row r="22" spans="1:9" ht="15" x14ac:dyDescent="0.25">
      <c r="A22" s="7" t="s">
        <v>32</v>
      </c>
      <c r="B22" s="10" t="s">
        <v>33</v>
      </c>
      <c r="C22" s="14">
        <v>270</v>
      </c>
      <c r="D22" s="15">
        <v>270</v>
      </c>
      <c r="E22" s="15">
        <v>270</v>
      </c>
      <c r="F22" s="16">
        <f t="shared" si="0"/>
        <v>67.5</v>
      </c>
      <c r="G22" s="15">
        <v>270</v>
      </c>
      <c r="H22" s="12">
        <f t="shared" si="1"/>
        <v>100</v>
      </c>
      <c r="I22" s="13"/>
    </row>
    <row r="23" spans="1:9" ht="15" x14ac:dyDescent="0.25">
      <c r="A23" s="7" t="s">
        <v>34</v>
      </c>
      <c r="B23" s="10" t="s">
        <v>35</v>
      </c>
      <c r="C23" s="14">
        <f>205373.37814-35526.91785</f>
        <v>169846.46028999999</v>
      </c>
      <c r="D23" s="15">
        <f>189242.38776-35479.22799</f>
        <v>153763.15977000003</v>
      </c>
      <c r="E23" s="15">
        <f>206733.70697-23833.73353</f>
        <v>182899.97344</v>
      </c>
      <c r="F23" s="16">
        <f t="shared" si="0"/>
        <v>45724.99336</v>
      </c>
      <c r="G23" s="15">
        <f>184408.57657-23586.70115</f>
        <v>160821.87542</v>
      </c>
      <c r="H23" s="12">
        <f t="shared" si="1"/>
        <v>87.928867563645284</v>
      </c>
      <c r="I23" s="13">
        <f t="shared" si="2"/>
        <v>104.59064164690584</v>
      </c>
    </row>
    <row r="24" spans="1:9" ht="30" x14ac:dyDescent="0.25">
      <c r="A24" s="7" t="s">
        <v>36</v>
      </c>
      <c r="B24" s="10" t="s">
        <v>37</v>
      </c>
      <c r="C24" s="14">
        <v>26674.415000000001</v>
      </c>
      <c r="D24" s="15">
        <v>25337.56</v>
      </c>
      <c r="E24" s="15">
        <f>38814.91984-9200</f>
        <v>29614.919840000002</v>
      </c>
      <c r="F24" s="16">
        <f t="shared" si="0"/>
        <v>7403.7299600000006</v>
      </c>
      <c r="G24" s="15">
        <f>36669.20257-9200</f>
        <v>27469.202570000001</v>
      </c>
      <c r="H24" s="12">
        <f t="shared" si="1"/>
        <v>92.754607199369005</v>
      </c>
      <c r="I24" s="13">
        <f t="shared" si="2"/>
        <v>108.41297492734108</v>
      </c>
    </row>
    <row r="25" spans="1:9" ht="28.5" x14ac:dyDescent="0.25">
      <c r="A25" s="9" t="s">
        <v>38</v>
      </c>
      <c r="B25" s="10" t="s">
        <v>39</v>
      </c>
      <c r="C25" s="11">
        <f>SUM(C26:C29)</f>
        <v>174462.93261000002</v>
      </c>
      <c r="D25" s="11">
        <f>SUM(D26:D29)</f>
        <v>160061.79118</v>
      </c>
      <c r="E25" s="11">
        <f>SUM(E26:E29)</f>
        <v>351163.55562999996</v>
      </c>
      <c r="F25" s="11">
        <f t="shared" si="0"/>
        <v>87790.88890749999</v>
      </c>
      <c r="G25" s="11">
        <f>SUM(G26:G29)</f>
        <v>274109.91001999995</v>
      </c>
      <c r="H25" s="12">
        <f t="shared" si="1"/>
        <v>78.057618914422079</v>
      </c>
      <c r="I25" s="13">
        <f t="shared" si="2"/>
        <v>171.2525569026935</v>
      </c>
    </row>
    <row r="26" spans="1:9" ht="15" x14ac:dyDescent="0.25">
      <c r="A26" s="7" t="s">
        <v>40</v>
      </c>
      <c r="B26" s="10" t="s">
        <v>41</v>
      </c>
      <c r="C26" s="14">
        <f>14441.76343-5594.3475</f>
        <v>8847.415930000001</v>
      </c>
      <c r="D26" s="15">
        <f>13893.90926-5594.3475</f>
        <v>8299.5617600000005</v>
      </c>
      <c r="E26" s="15">
        <f>11113.06781-197.1</f>
        <v>10915.96781</v>
      </c>
      <c r="F26" s="16">
        <f t="shared" si="0"/>
        <v>2728.9919525</v>
      </c>
      <c r="G26" s="15">
        <f>9861.11638-197.1</f>
        <v>9664.0163799999991</v>
      </c>
      <c r="H26" s="12">
        <f t="shared" si="1"/>
        <v>88.531008410879494</v>
      </c>
      <c r="I26" s="13">
        <f t="shared" si="2"/>
        <v>116.44008032539779</v>
      </c>
    </row>
    <row r="27" spans="1:9" ht="15" x14ac:dyDescent="0.25">
      <c r="A27" s="7" t="s">
        <v>42</v>
      </c>
      <c r="B27" s="10" t="s">
        <v>43</v>
      </c>
      <c r="C27" s="14">
        <f>60121.10197-1438.416</f>
        <v>58682.685970000006</v>
      </c>
      <c r="D27" s="15">
        <f>49577.75251-1157.47899</f>
        <v>48420.273519999995</v>
      </c>
      <c r="E27" s="15">
        <f>146418.09875-1030</f>
        <v>145388.09875</v>
      </c>
      <c r="F27" s="16">
        <f t="shared" si="0"/>
        <v>36347.024687500001</v>
      </c>
      <c r="G27" s="15">
        <f>89550.67777-970</f>
        <v>88580.677769999995</v>
      </c>
      <c r="H27" s="12">
        <f t="shared" si="1"/>
        <v>60.927048727913835</v>
      </c>
      <c r="I27" s="13">
        <f t="shared" si="2"/>
        <v>182.94129985327683</v>
      </c>
    </row>
    <row r="28" spans="1:9" ht="15" x14ac:dyDescent="0.25">
      <c r="A28" s="7" t="s">
        <v>44</v>
      </c>
      <c r="B28" s="10" t="s">
        <v>45</v>
      </c>
      <c r="C28" s="14">
        <f>136618.02944-31546.50173</f>
        <v>105071.52771000001</v>
      </c>
      <c r="D28" s="15">
        <f>133089.64329-31456.18739</f>
        <v>101633.4559</v>
      </c>
      <c r="E28" s="15">
        <f>284910.611-93516.57993</f>
        <v>191394.03106999997</v>
      </c>
      <c r="F28" s="16">
        <f t="shared" si="0"/>
        <v>47848.507767499992</v>
      </c>
      <c r="G28" s="15">
        <f>264480.54058-92080.78271</f>
        <v>172399.75786999997</v>
      </c>
      <c r="H28" s="12">
        <f t="shared" si="1"/>
        <v>90.075827812491667</v>
      </c>
      <c r="I28" s="13">
        <f t="shared" si="2"/>
        <v>169.62894387811519</v>
      </c>
    </row>
    <row r="29" spans="1:9" ht="30" x14ac:dyDescent="0.25">
      <c r="A29" s="7" t="s">
        <v>46</v>
      </c>
      <c r="B29" s="10" t="s">
        <v>47</v>
      </c>
      <c r="C29" s="14">
        <f>9961.303-8100</f>
        <v>1861.3029999999999</v>
      </c>
      <c r="D29" s="15">
        <f>9808.5-8100</f>
        <v>1708.5</v>
      </c>
      <c r="E29" s="15">
        <f>9521.30447-6055.84647</f>
        <v>3465.4579999999987</v>
      </c>
      <c r="F29" s="16">
        <f t="shared" si="0"/>
        <v>866.36449999999968</v>
      </c>
      <c r="G29" s="15">
        <f>9521.30447-6055.84647</f>
        <v>3465.4579999999987</v>
      </c>
      <c r="H29" s="12">
        <f t="shared" si="1"/>
        <v>100</v>
      </c>
      <c r="I29" s="13"/>
    </row>
    <row r="30" spans="1:9" s="19" customFormat="1" ht="15" x14ac:dyDescent="0.25">
      <c r="A30" s="9" t="s">
        <v>102</v>
      </c>
      <c r="B30" s="17" t="s">
        <v>104</v>
      </c>
      <c r="C30" s="18">
        <f t="shared" ref="C30:D30" si="3">C31</f>
        <v>0</v>
      </c>
      <c r="D30" s="18">
        <f t="shared" si="3"/>
        <v>0</v>
      </c>
      <c r="E30" s="18">
        <f>E31</f>
        <v>14351.573069999999</v>
      </c>
      <c r="F30" s="11"/>
      <c r="G30" s="18">
        <f>G31</f>
        <v>13809.824669999998</v>
      </c>
      <c r="H30" s="12">
        <f t="shared" ref="H30:H31" si="4">G30/E30*100</f>
        <v>96.225163629397173</v>
      </c>
      <c r="I30" s="13"/>
    </row>
    <row r="31" spans="1:9" ht="15" x14ac:dyDescent="0.25">
      <c r="A31" s="7" t="s">
        <v>103</v>
      </c>
      <c r="B31" s="10" t="s">
        <v>105</v>
      </c>
      <c r="C31" s="14"/>
      <c r="D31" s="15"/>
      <c r="E31" s="14">
        <f>19091.57307-4740</f>
        <v>14351.573069999999</v>
      </c>
      <c r="F31" s="16"/>
      <c r="G31" s="15">
        <f>18517.54671-4707.72204</f>
        <v>13809.824669999998</v>
      </c>
      <c r="H31" s="12">
        <f t="shared" si="4"/>
        <v>96.225163629397173</v>
      </c>
      <c r="I31" s="13"/>
    </row>
    <row r="32" spans="1:9" ht="15" x14ac:dyDescent="0.25">
      <c r="A32" s="9" t="s">
        <v>48</v>
      </c>
      <c r="B32" s="10" t="s">
        <v>49</v>
      </c>
      <c r="C32" s="11">
        <f>SUM(C33:C38)</f>
        <v>1089741.872</v>
      </c>
      <c r="D32" s="11">
        <f>SUM(D33:D38)</f>
        <v>1076125.2320299998</v>
      </c>
      <c r="E32" s="11">
        <f>SUM(E33:E38)</f>
        <v>1167167.25841</v>
      </c>
      <c r="F32" s="11">
        <f t="shared" si="0"/>
        <v>291791.8146025</v>
      </c>
      <c r="G32" s="11">
        <f>SUM(G33:G38)</f>
        <v>1156196.4447500003</v>
      </c>
      <c r="H32" s="12">
        <f t="shared" si="1"/>
        <v>99.060047856813171</v>
      </c>
      <c r="I32" s="13">
        <f t="shared" si="2"/>
        <v>107.44069652274153</v>
      </c>
    </row>
    <row r="33" spans="1:9" ht="15" x14ac:dyDescent="0.25">
      <c r="A33" s="7" t="s">
        <v>50</v>
      </c>
      <c r="B33" s="10" t="s">
        <v>51</v>
      </c>
      <c r="C33" s="14">
        <v>381900.09700000001</v>
      </c>
      <c r="D33" s="15">
        <v>374763.15203</v>
      </c>
      <c r="E33" s="14">
        <v>395687.53367999999</v>
      </c>
      <c r="F33" s="16">
        <f t="shared" si="0"/>
        <v>98921.883419999998</v>
      </c>
      <c r="G33" s="15">
        <v>392151.39662000001</v>
      </c>
      <c r="H33" s="12">
        <f t="shared" si="1"/>
        <v>99.106330940701383</v>
      </c>
      <c r="I33" s="13">
        <f t="shared" si="2"/>
        <v>104.63979569384347</v>
      </c>
    </row>
    <row r="34" spans="1:9" ht="15" x14ac:dyDescent="0.25">
      <c r="A34" s="7" t="s">
        <v>52</v>
      </c>
      <c r="B34" s="10" t="s">
        <v>53</v>
      </c>
      <c r="C34" s="14">
        <v>543009.06599999999</v>
      </c>
      <c r="D34" s="15">
        <v>539476.21</v>
      </c>
      <c r="E34" s="14">
        <v>593887.82472999999</v>
      </c>
      <c r="F34" s="16">
        <f t="shared" si="0"/>
        <v>148471.9561825</v>
      </c>
      <c r="G34" s="15">
        <v>589558.72501000005</v>
      </c>
      <c r="H34" s="12">
        <f t="shared" si="1"/>
        <v>99.271057674575474</v>
      </c>
      <c r="I34" s="13">
        <f t="shared" si="2"/>
        <v>109.28354468309178</v>
      </c>
    </row>
    <row r="35" spans="1:9" ht="15.75" x14ac:dyDescent="0.25">
      <c r="A35" s="1" t="s">
        <v>54</v>
      </c>
      <c r="B35" s="10" t="s">
        <v>55</v>
      </c>
      <c r="C35" s="14">
        <v>98946.108999999997</v>
      </c>
      <c r="D35" s="15">
        <v>98668.11</v>
      </c>
      <c r="E35" s="14">
        <v>105886.2</v>
      </c>
      <c r="F35" s="16">
        <f t="shared" si="0"/>
        <v>26471.55</v>
      </c>
      <c r="G35" s="15">
        <v>104691.97523</v>
      </c>
      <c r="H35" s="12">
        <f t="shared" si="1"/>
        <v>98.872162028668512</v>
      </c>
      <c r="I35" s="13"/>
    </row>
    <row r="36" spans="1:9" ht="30" x14ac:dyDescent="0.25">
      <c r="A36" s="7" t="s">
        <v>56</v>
      </c>
      <c r="B36" s="10" t="s">
        <v>57</v>
      </c>
      <c r="C36" s="14"/>
      <c r="D36" s="15"/>
      <c r="E36" s="14"/>
      <c r="F36" s="16">
        <f t="shared" si="0"/>
        <v>0</v>
      </c>
      <c r="G36" s="15"/>
      <c r="H36" s="12"/>
      <c r="I36" s="13"/>
    </row>
    <row r="37" spans="1:9" ht="15" x14ac:dyDescent="0.25">
      <c r="A37" s="7" t="s">
        <v>58</v>
      </c>
      <c r="B37" s="10" t="s">
        <v>59</v>
      </c>
      <c r="C37" s="14">
        <v>31041.599999999999</v>
      </c>
      <c r="D37" s="15">
        <v>30977.49</v>
      </c>
      <c r="E37" s="14">
        <v>35098.199999999997</v>
      </c>
      <c r="F37" s="16">
        <f t="shared" si="0"/>
        <v>8774.5499999999993</v>
      </c>
      <c r="G37" s="15">
        <v>35077.114999999998</v>
      </c>
      <c r="H37" s="12">
        <f t="shared" si="1"/>
        <v>99.939925694195139</v>
      </c>
      <c r="I37" s="13">
        <f t="shared" si="2"/>
        <v>113.23420651576353</v>
      </c>
    </row>
    <row r="38" spans="1:9" ht="15" x14ac:dyDescent="0.25">
      <c r="A38" s="7" t="s">
        <v>60</v>
      </c>
      <c r="B38" s="10" t="s">
        <v>61</v>
      </c>
      <c r="C38" s="14">
        <v>34845</v>
      </c>
      <c r="D38" s="15">
        <v>32240.27</v>
      </c>
      <c r="E38" s="14">
        <v>36607.5</v>
      </c>
      <c r="F38" s="16">
        <f t="shared" si="0"/>
        <v>9151.875</v>
      </c>
      <c r="G38" s="15">
        <v>34717.232889999999</v>
      </c>
      <c r="H38" s="12">
        <f t="shared" si="1"/>
        <v>94.836393881035306</v>
      </c>
      <c r="I38" s="13">
        <f t="shared" si="2"/>
        <v>107.68282303467061</v>
      </c>
    </row>
    <row r="39" spans="1:9" ht="15" x14ac:dyDescent="0.25">
      <c r="A39" s="9" t="s">
        <v>62</v>
      </c>
      <c r="B39" s="10" t="s">
        <v>63</v>
      </c>
      <c r="C39" s="11">
        <f>SUM(C40:C41)</f>
        <v>128495.98214000001</v>
      </c>
      <c r="D39" s="11">
        <f>SUM(D40:D41)</f>
        <v>128032.09268999999</v>
      </c>
      <c r="E39" s="11">
        <f>SUM(E40:E41)</f>
        <v>128189.66917000001</v>
      </c>
      <c r="F39" s="11">
        <f t="shared" si="0"/>
        <v>32047.417292500002</v>
      </c>
      <c r="G39" s="11">
        <f>SUM(G40:G41)</f>
        <v>126551.60751</v>
      </c>
      <c r="H39" s="12">
        <f t="shared" si="1"/>
        <v>98.722157822384517</v>
      </c>
      <c r="I39" s="13">
        <f t="shared" si="2"/>
        <v>98.843660875258337</v>
      </c>
    </row>
    <row r="40" spans="1:9" ht="15" x14ac:dyDescent="0.25">
      <c r="A40" s="7" t="s">
        <v>64</v>
      </c>
      <c r="B40" s="10" t="s">
        <v>65</v>
      </c>
      <c r="C40" s="14">
        <f>139465.98514-11423</f>
        <v>128042.98514</v>
      </c>
      <c r="D40" s="15">
        <f>139013.33664-11423</f>
        <v>127590.33663999999</v>
      </c>
      <c r="E40" s="14">
        <f>144710.47417-16520.805</f>
        <v>128189.66917000001</v>
      </c>
      <c r="F40" s="16">
        <f t="shared" si="0"/>
        <v>32047.417292500002</v>
      </c>
      <c r="G40" s="15">
        <f>142873.36251-16321.755</f>
        <v>126551.60751</v>
      </c>
      <c r="H40" s="12">
        <f t="shared" si="1"/>
        <v>98.722157822384517</v>
      </c>
      <c r="I40" s="13">
        <f t="shared" si="2"/>
        <v>99.185887303573153</v>
      </c>
    </row>
    <row r="41" spans="1:9" ht="30" x14ac:dyDescent="0.25">
      <c r="A41" s="7" t="s">
        <v>66</v>
      </c>
      <c r="B41" s="10" t="s">
        <v>67</v>
      </c>
      <c r="C41" s="14">
        <v>452.99700000000001</v>
      </c>
      <c r="D41" s="15">
        <v>441.75605000000002</v>
      </c>
      <c r="E41" s="14"/>
      <c r="F41" s="16">
        <f t="shared" si="0"/>
        <v>0</v>
      </c>
      <c r="G41" s="15"/>
      <c r="H41" s="12"/>
      <c r="I41" s="13">
        <f t="shared" si="2"/>
        <v>0</v>
      </c>
    </row>
    <row r="42" spans="1:9" ht="15" x14ac:dyDescent="0.25">
      <c r="A42" s="9" t="s">
        <v>68</v>
      </c>
      <c r="B42" s="10" t="s">
        <v>69</v>
      </c>
      <c r="C42" s="11">
        <f>SUM(C43:C45)</f>
        <v>115429.16124</v>
      </c>
      <c r="D42" s="11">
        <f>SUM(D43:D45)</f>
        <v>103968.84456</v>
      </c>
      <c r="E42" s="11">
        <f>SUM(E43:E45)</f>
        <v>138131.11145999999</v>
      </c>
      <c r="F42" s="11">
        <f t="shared" si="0"/>
        <v>34532.777864999996</v>
      </c>
      <c r="G42" s="11">
        <f>SUM(G43:G45)</f>
        <v>132410.80171999999</v>
      </c>
      <c r="H42" s="12">
        <f t="shared" si="1"/>
        <v>95.858782515004606</v>
      </c>
      <c r="I42" s="13">
        <f t="shared" si="2"/>
        <v>127.35623087894015</v>
      </c>
    </row>
    <row r="43" spans="1:9" ht="15" x14ac:dyDescent="0.25">
      <c r="A43" s="7" t="s">
        <v>70</v>
      </c>
      <c r="B43" s="10" t="s">
        <v>71</v>
      </c>
      <c r="C43" s="14">
        <f>1245.17448-439.58724</f>
        <v>805.58723999999984</v>
      </c>
      <c r="D43" s="15">
        <f>1208.51328-439.58724</f>
        <v>768.92603999999983</v>
      </c>
      <c r="E43" s="14">
        <f>973.38484-322.19242</f>
        <v>651.19242000000008</v>
      </c>
      <c r="F43" s="16">
        <f t="shared" si="0"/>
        <v>162.79810500000002</v>
      </c>
      <c r="G43" s="15">
        <f>928.1779-311.97272</f>
        <v>616.20518000000004</v>
      </c>
      <c r="H43" s="12">
        <f t="shared" si="1"/>
        <v>94.62720404515764</v>
      </c>
      <c r="I43" s="13">
        <f t="shared" si="2"/>
        <v>80.138420074835821</v>
      </c>
    </row>
    <row r="44" spans="1:9" ht="15" x14ac:dyDescent="0.25">
      <c r="A44" s="7" t="s">
        <v>72</v>
      </c>
      <c r="B44" s="10" t="s">
        <v>73</v>
      </c>
      <c r="C44" s="14">
        <v>35961.675999999999</v>
      </c>
      <c r="D44" s="15">
        <v>26093.979520000001</v>
      </c>
      <c r="E44" s="14">
        <v>27901.565419999999</v>
      </c>
      <c r="F44" s="16">
        <f t="shared" si="0"/>
        <v>6975.3913549999997</v>
      </c>
      <c r="G44" s="15">
        <v>27408.305319999999</v>
      </c>
      <c r="H44" s="12">
        <f t="shared" si="1"/>
        <v>98.232141843746064</v>
      </c>
      <c r="I44" s="13">
        <f t="shared" si="2"/>
        <v>105.03689289321554</v>
      </c>
    </row>
    <row r="45" spans="1:9" ht="15" x14ac:dyDescent="0.25">
      <c r="A45" s="7" t="s">
        <v>74</v>
      </c>
      <c r="B45" s="10" t="s">
        <v>75</v>
      </c>
      <c r="C45" s="14">
        <v>78661.898000000001</v>
      </c>
      <c r="D45" s="15">
        <v>77105.938999999998</v>
      </c>
      <c r="E45" s="14">
        <v>109578.35361999999</v>
      </c>
      <c r="F45" s="16">
        <f t="shared" si="0"/>
        <v>27394.588404999999</v>
      </c>
      <c r="G45" s="15">
        <v>104386.29122</v>
      </c>
      <c r="H45" s="12">
        <f t="shared" si="1"/>
        <v>95.261780973635339</v>
      </c>
      <c r="I45" s="13">
        <f t="shared" si="2"/>
        <v>135.38035146683058</v>
      </c>
    </row>
    <row r="46" spans="1:9" ht="15" x14ac:dyDescent="0.25">
      <c r="A46" s="9" t="s">
        <v>76</v>
      </c>
      <c r="B46" s="10" t="s">
        <v>77</v>
      </c>
      <c r="C46" s="11">
        <f>C47</f>
        <v>47040.057000000001</v>
      </c>
      <c r="D46" s="11">
        <f>D47</f>
        <v>46968.14</v>
      </c>
      <c r="E46" s="11">
        <f>E47</f>
        <v>53957.319000000003</v>
      </c>
      <c r="F46" s="11">
        <f t="shared" si="0"/>
        <v>13489.329750000001</v>
      </c>
      <c r="G46" s="11">
        <f>G47</f>
        <v>53241.153319999998</v>
      </c>
      <c r="H46" s="12">
        <f t="shared" si="1"/>
        <v>98.672718190464565</v>
      </c>
      <c r="I46" s="13">
        <f t="shared" si="2"/>
        <v>113.3558904397747</v>
      </c>
    </row>
    <row r="47" spans="1:9" ht="15" x14ac:dyDescent="0.25">
      <c r="A47" s="7" t="s">
        <v>78</v>
      </c>
      <c r="B47" s="10" t="s">
        <v>79</v>
      </c>
      <c r="C47" s="14">
        <v>47040.057000000001</v>
      </c>
      <c r="D47" s="15">
        <v>46968.14</v>
      </c>
      <c r="E47" s="14">
        <f>71734.319-17777</f>
        <v>53957.319000000003</v>
      </c>
      <c r="F47" s="16">
        <f t="shared" si="0"/>
        <v>13489.329750000001</v>
      </c>
      <c r="G47" s="15">
        <f>71018.15332-17777</f>
        <v>53241.153319999998</v>
      </c>
      <c r="H47" s="12">
        <f t="shared" si="1"/>
        <v>98.672718190464565</v>
      </c>
      <c r="I47" s="13">
        <f t="shared" si="2"/>
        <v>113.3558904397747</v>
      </c>
    </row>
    <row r="48" spans="1:9" ht="28.5" x14ac:dyDescent="0.25">
      <c r="A48" s="9" t="s">
        <v>80</v>
      </c>
      <c r="B48" s="10" t="s">
        <v>81</v>
      </c>
      <c r="C48" s="11">
        <f>SUM(C49:C50)</f>
        <v>3873.0789999999997</v>
      </c>
      <c r="D48" s="11">
        <f>SUM(D49:D50)</f>
        <v>3784.1869999999999</v>
      </c>
      <c r="E48" s="11">
        <f>SUM(E49:E50)</f>
        <v>4730.4570000000003</v>
      </c>
      <c r="F48" s="11">
        <f t="shared" si="0"/>
        <v>1182.6142500000001</v>
      </c>
      <c r="G48" s="11">
        <f>SUM(G49:G50)</f>
        <v>4667.8680000000004</v>
      </c>
      <c r="H48" s="12">
        <f t="shared" si="1"/>
        <v>98.676893162753615</v>
      </c>
      <c r="I48" s="13">
        <f t="shared" si="2"/>
        <v>123.35193794598418</v>
      </c>
    </row>
    <row r="49" spans="1:9" ht="15" x14ac:dyDescent="0.25">
      <c r="A49" s="7" t="s">
        <v>82</v>
      </c>
      <c r="B49" s="10" t="s">
        <v>83</v>
      </c>
      <c r="C49" s="14">
        <v>2500</v>
      </c>
      <c r="D49" s="15">
        <v>2500</v>
      </c>
      <c r="E49" s="14">
        <v>3150</v>
      </c>
      <c r="F49" s="16">
        <f t="shared" si="0"/>
        <v>787.5</v>
      </c>
      <c r="G49" s="15">
        <v>3150</v>
      </c>
      <c r="H49" s="12">
        <f t="shared" si="1"/>
        <v>100</v>
      </c>
      <c r="I49" s="13">
        <f t="shared" si="2"/>
        <v>126</v>
      </c>
    </row>
    <row r="50" spans="1:9" ht="18" customHeight="1" x14ac:dyDescent="0.25">
      <c r="A50" s="7" t="s">
        <v>84</v>
      </c>
      <c r="B50" s="10" t="s">
        <v>85</v>
      </c>
      <c r="C50" s="14">
        <v>1373.079</v>
      </c>
      <c r="D50" s="15">
        <v>1284.1869999999999</v>
      </c>
      <c r="E50" s="14">
        <v>1580.4570000000001</v>
      </c>
      <c r="F50" s="16">
        <f t="shared" si="0"/>
        <v>395.11425000000003</v>
      </c>
      <c r="G50" s="15">
        <v>1517.8679999999999</v>
      </c>
      <c r="H50" s="12">
        <f t="shared" si="1"/>
        <v>96.039816331605337</v>
      </c>
      <c r="I50" s="13">
        <f t="shared" si="2"/>
        <v>118.19680467097082</v>
      </c>
    </row>
    <row r="51" spans="1:9" ht="12" hidden="1" customHeight="1" x14ac:dyDescent="0.25">
      <c r="A51" s="9" t="s">
        <v>86</v>
      </c>
      <c r="B51" s="10" t="s">
        <v>87</v>
      </c>
      <c r="C51" s="11">
        <f>SUM(C52:C53)</f>
        <v>0</v>
      </c>
      <c r="D51" s="11">
        <f>SUM(D52:D53)</f>
        <v>0</v>
      </c>
      <c r="E51" s="11">
        <f>SUM(E52:E53)</f>
        <v>0</v>
      </c>
      <c r="F51" s="11">
        <f t="shared" si="0"/>
        <v>0</v>
      </c>
      <c r="G51" s="11">
        <f>SUM(G52:G53)</f>
        <v>0</v>
      </c>
      <c r="H51" s="12" t="e">
        <f t="shared" si="1"/>
        <v>#DIV/0!</v>
      </c>
      <c r="I51" s="13" t="e">
        <f t="shared" si="2"/>
        <v>#DIV/0!</v>
      </c>
    </row>
    <row r="52" spans="1:9" ht="17.25" hidden="1" customHeight="1" x14ac:dyDescent="0.25">
      <c r="A52" s="7" t="s">
        <v>88</v>
      </c>
      <c r="B52" s="10" t="s">
        <v>89</v>
      </c>
      <c r="C52" s="14"/>
      <c r="D52" s="14"/>
      <c r="E52" s="14"/>
      <c r="F52" s="11">
        <f t="shared" si="0"/>
        <v>0</v>
      </c>
      <c r="G52" s="14"/>
      <c r="H52" s="12" t="e">
        <f t="shared" si="1"/>
        <v>#DIV/0!</v>
      </c>
      <c r="I52" s="13" t="e">
        <f t="shared" si="2"/>
        <v>#DIV/0!</v>
      </c>
    </row>
    <row r="53" spans="1:9" ht="21.75" hidden="1" customHeight="1" x14ac:dyDescent="0.25">
      <c r="A53" s="7" t="s">
        <v>90</v>
      </c>
      <c r="B53" s="10" t="s">
        <v>91</v>
      </c>
      <c r="C53" s="14"/>
      <c r="D53" s="14"/>
      <c r="E53" s="14"/>
      <c r="F53" s="11">
        <f t="shared" si="0"/>
        <v>0</v>
      </c>
      <c r="G53" s="14"/>
      <c r="H53" s="12" t="e">
        <f t="shared" si="1"/>
        <v>#DIV/0!</v>
      </c>
      <c r="I53" s="13" t="e">
        <f t="shared" si="2"/>
        <v>#DIV/0!</v>
      </c>
    </row>
    <row r="54" spans="1:9" ht="15" x14ac:dyDescent="0.25">
      <c r="A54" s="9" t="s">
        <v>92</v>
      </c>
      <c r="B54" s="17"/>
      <c r="C54" s="11">
        <f>C51+C48+C46+C42+C39+C32+C25+C19+C15+C13+C5</f>
        <v>1962221.54901</v>
      </c>
      <c r="D54" s="11">
        <f>D51+D48+D46+D42+D39+D32+D25+D19+D15+D13+D5</f>
        <v>1896528.4450899998</v>
      </c>
      <c r="E54" s="11">
        <f>E51+E48+E46+E42+E39+E32+E25+E19+E15+E13+E5+E30</f>
        <v>2307003.05003</v>
      </c>
      <c r="F54" s="11">
        <f t="shared" si="0"/>
        <v>576750.76250750001</v>
      </c>
      <c r="G54" s="11">
        <f>G51+G48+G46+G42+G39+G32+G25+G19+G15+G13+G5+G30</f>
        <v>2171881.9132600003</v>
      </c>
      <c r="H54" s="12">
        <f t="shared" si="1"/>
        <v>94.143001381457097</v>
      </c>
      <c r="I54" s="13">
        <f t="shared" si="2"/>
        <v>114.51881562245345</v>
      </c>
    </row>
  </sheetData>
  <mergeCells count="2">
    <mergeCell ref="A1:H1"/>
    <mergeCell ref="A2:H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2020-01-11T07:45:08Z</cp:lastPrinted>
  <dcterms:created xsi:type="dcterms:W3CDTF">2017-05-25T10:54:37Z</dcterms:created>
  <dcterms:modified xsi:type="dcterms:W3CDTF">2020-01-11T08:38:14Z</dcterms:modified>
</cp:coreProperties>
</file>