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AEBD4A4-9853-46EC-B0E4-E4642DC9457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свод  сады на 01.01 2022 год" sheetId="7" r:id="rId1"/>
    <sheet name="свод в фин шк. на 01.01.2022г" sheetId="6" r:id="rId2"/>
    <sheet name="допы2022" sheetId="12" r:id="rId3"/>
  </sheets>
  <definedNames>
    <definedName name="_xlnm.Print_Area" localSheetId="2">допы2022!$A$1:$O$41</definedName>
    <definedName name="_xlnm.Print_Area" localSheetId="0">'свод  сады на 01.01 2022 год'!$A$1:$T$1246</definedName>
    <definedName name="_xlnm.Print_Area" localSheetId="1">'свод в фин шк. на 01.01.2022г'!$A$1:$O$920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2" l="1"/>
  <c r="O28" i="12"/>
  <c r="N28" i="12"/>
  <c r="M28" i="12"/>
  <c r="K28" i="12"/>
  <c r="I28" i="12"/>
  <c r="E28" i="12"/>
  <c r="C28" i="12"/>
  <c r="O14" i="12"/>
  <c r="O12" i="12"/>
  <c r="O10" i="12"/>
  <c r="T488" i="7" l="1"/>
  <c r="J145" i="6" l="1"/>
  <c r="J266" i="6"/>
  <c r="K266" i="6" s="1"/>
  <c r="J267" i="6"/>
  <c r="K267" i="6" s="1"/>
  <c r="J268" i="6"/>
  <c r="L268" i="6" s="1"/>
  <c r="J269" i="6"/>
  <c r="K269" i="6" s="1"/>
  <c r="J270" i="6"/>
  <c r="L270" i="6" s="1"/>
  <c r="J271" i="6"/>
  <c r="L271" i="6" s="1"/>
  <c r="J272" i="6"/>
  <c r="L272" i="6" s="1"/>
  <c r="J273" i="6"/>
  <c r="L273" i="6" s="1"/>
  <c r="M859" i="6"/>
  <c r="M860" i="6"/>
  <c r="J858" i="6"/>
  <c r="K858" i="6" s="1"/>
  <c r="J695" i="6"/>
  <c r="J660" i="6"/>
  <c r="K660" i="6" s="1"/>
  <c r="J605" i="6"/>
  <c r="K605" i="6" s="1"/>
  <c r="J571" i="6"/>
  <c r="K571" i="6" s="1"/>
  <c r="J572" i="6"/>
  <c r="L572" i="6" s="1"/>
  <c r="J573" i="6"/>
  <c r="K573" i="6" s="1"/>
  <c r="J574" i="6"/>
  <c r="K574" i="6" s="1"/>
  <c r="J554" i="6"/>
  <c r="K554" i="6" s="1"/>
  <c r="K550" i="6" s="1"/>
  <c r="J492" i="6"/>
  <c r="K492" i="6" s="1"/>
  <c r="J464" i="6"/>
  <c r="K464" i="6" s="1"/>
  <c r="N881" i="6"/>
  <c r="N410" i="6"/>
  <c r="F862" i="6"/>
  <c r="F858" i="6"/>
  <c r="G858" i="6" s="1"/>
  <c r="F859" i="6"/>
  <c r="L859" i="6" s="1"/>
  <c r="F860" i="6"/>
  <c r="L860" i="6" s="1"/>
  <c r="F857" i="6"/>
  <c r="F850" i="6"/>
  <c r="F847" i="6"/>
  <c r="G847" i="6" s="1"/>
  <c r="F819" i="6"/>
  <c r="F810" i="6"/>
  <c r="F809" i="6"/>
  <c r="F803" i="6"/>
  <c r="F804" i="6"/>
  <c r="F805" i="6"/>
  <c r="F806" i="6"/>
  <c r="F802" i="6"/>
  <c r="F799" i="6"/>
  <c r="F800" i="6"/>
  <c r="F798" i="6"/>
  <c r="G798" i="6" s="1"/>
  <c r="F787" i="6"/>
  <c r="F773" i="6"/>
  <c r="F772" i="6"/>
  <c r="F764" i="6"/>
  <c r="F760" i="6"/>
  <c r="F761" i="6"/>
  <c r="F759" i="6"/>
  <c r="G759" i="6" s="1"/>
  <c r="F747" i="6"/>
  <c r="F740" i="6"/>
  <c r="F733" i="6"/>
  <c r="F726" i="6"/>
  <c r="F724" i="6"/>
  <c r="F723" i="6"/>
  <c r="G723" i="6" s="1"/>
  <c r="F711" i="6"/>
  <c r="F712" i="6"/>
  <c r="F713" i="6"/>
  <c r="F714" i="6"/>
  <c r="F715" i="6"/>
  <c r="F716" i="6"/>
  <c r="F710" i="6"/>
  <c r="F696" i="6"/>
  <c r="F695" i="6"/>
  <c r="G695" i="6" s="1"/>
  <c r="F688" i="6"/>
  <c r="F685" i="6"/>
  <c r="F684" i="6"/>
  <c r="G684" i="6" s="1"/>
  <c r="F673" i="6"/>
  <c r="F660" i="6"/>
  <c r="G660" i="6" s="1"/>
  <c r="F659" i="6"/>
  <c r="F648" i="6"/>
  <c r="F647" i="6"/>
  <c r="G647" i="6" s="1"/>
  <c r="F629" i="6"/>
  <c r="F620" i="6"/>
  <c r="F615" i="6"/>
  <c r="F614" i="6"/>
  <c r="F607" i="6"/>
  <c r="F604" i="6"/>
  <c r="F605" i="6"/>
  <c r="G605" i="6" s="1"/>
  <c r="F603" i="6"/>
  <c r="G603" i="6" s="1"/>
  <c r="F592" i="6"/>
  <c r="F584" i="6"/>
  <c r="F585" i="6"/>
  <c r="F586" i="6"/>
  <c r="F587" i="6"/>
  <c r="F583" i="6"/>
  <c r="F578" i="6"/>
  <c r="F579" i="6"/>
  <c r="F580" i="6"/>
  <c r="F581" i="6"/>
  <c r="F577" i="6"/>
  <c r="G571" i="6"/>
  <c r="G572" i="6"/>
  <c r="G573" i="6"/>
  <c r="F574" i="6"/>
  <c r="G574" i="6" s="1"/>
  <c r="F570" i="6"/>
  <c r="F567" i="6"/>
  <c r="F566" i="6"/>
  <c r="G566" i="6" s="1"/>
  <c r="G554" i="6"/>
  <c r="G550" i="6" s="1"/>
  <c r="F554" i="6"/>
  <c r="L554" i="6" s="1"/>
  <c r="F547" i="6"/>
  <c r="F540" i="6"/>
  <c r="F539" i="6"/>
  <c r="F532" i="6"/>
  <c r="F531" i="6"/>
  <c r="F528" i="6"/>
  <c r="F527" i="6"/>
  <c r="G527" i="6" s="1"/>
  <c r="F516" i="6"/>
  <c r="F508" i="6"/>
  <c r="F507" i="6"/>
  <c r="F502" i="6"/>
  <c r="F501" i="6"/>
  <c r="F494" i="6"/>
  <c r="F492" i="6"/>
  <c r="G492" i="6" s="1"/>
  <c r="F491" i="6"/>
  <c r="F490" i="6"/>
  <c r="G490" i="6" s="1"/>
  <c r="F479" i="6"/>
  <c r="F465" i="6"/>
  <c r="F464" i="6"/>
  <c r="G464" i="6" s="1"/>
  <c r="F454" i="6"/>
  <c r="F453" i="6"/>
  <c r="G453" i="6" s="1"/>
  <c r="F406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82" i="6"/>
  <c r="F369" i="6"/>
  <c r="F370" i="6"/>
  <c r="F368" i="6"/>
  <c r="G368" i="6" s="1"/>
  <c r="F363" i="6"/>
  <c r="F364" i="6"/>
  <c r="F362" i="6"/>
  <c r="F349" i="6"/>
  <c r="F350" i="6"/>
  <c r="F351" i="6"/>
  <c r="F352" i="6"/>
  <c r="F353" i="6"/>
  <c r="F348" i="6"/>
  <c r="F328" i="6"/>
  <c r="F329" i="6"/>
  <c r="F327" i="6"/>
  <c r="G327" i="6" s="1"/>
  <c r="F318" i="6"/>
  <c r="F305" i="6"/>
  <c r="F306" i="6"/>
  <c r="F307" i="6"/>
  <c r="F308" i="6"/>
  <c r="F309" i="6"/>
  <c r="F304" i="6"/>
  <c r="F284" i="6"/>
  <c r="F285" i="6"/>
  <c r="F283" i="6"/>
  <c r="G283" i="6" s="1"/>
  <c r="F266" i="6"/>
  <c r="L266" i="6" s="1"/>
  <c r="F265" i="6"/>
  <c r="F248" i="6"/>
  <c r="F249" i="6"/>
  <c r="F247" i="6"/>
  <c r="F234" i="6"/>
  <c r="F235" i="6"/>
  <c r="F233" i="6"/>
  <c r="G233" i="6" s="1"/>
  <c r="F227" i="6"/>
  <c r="F204" i="6"/>
  <c r="F205" i="6"/>
  <c r="F203" i="6"/>
  <c r="F190" i="6"/>
  <c r="F191" i="6"/>
  <c r="F189" i="6"/>
  <c r="G189" i="6" s="1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60" i="6"/>
  <c r="F146" i="6"/>
  <c r="F147" i="6"/>
  <c r="F148" i="6"/>
  <c r="F149" i="6"/>
  <c r="F150" i="6"/>
  <c r="F151" i="6"/>
  <c r="F152" i="6"/>
  <c r="F153" i="6"/>
  <c r="F154" i="6"/>
  <c r="F155" i="6"/>
  <c r="F156" i="6"/>
  <c r="F145" i="6"/>
  <c r="G145" i="6" s="1"/>
  <c r="F133" i="6"/>
  <c r="F117" i="6"/>
  <c r="F118" i="6"/>
  <c r="F119" i="6"/>
  <c r="F120" i="6"/>
  <c r="F121" i="6"/>
  <c r="F115" i="6"/>
  <c r="F116" i="6"/>
  <c r="F114" i="6"/>
  <c r="F109" i="6"/>
  <c r="F98" i="6"/>
  <c r="F99" i="6"/>
  <c r="F100" i="6"/>
  <c r="F101" i="6"/>
  <c r="F102" i="6"/>
  <c r="F103" i="6"/>
  <c r="F104" i="6"/>
  <c r="F105" i="6"/>
  <c r="F106" i="6"/>
  <c r="F107" i="6"/>
  <c r="F97" i="6"/>
  <c r="G97" i="6" s="1"/>
  <c r="F85" i="6"/>
  <c r="F84" i="6"/>
  <c r="F67" i="6"/>
  <c r="F68" i="6"/>
  <c r="F69" i="6"/>
  <c r="F70" i="6"/>
  <c r="F66" i="6"/>
  <c r="F53" i="6"/>
  <c r="F54" i="6"/>
  <c r="F52" i="6"/>
  <c r="G52" i="6" s="1"/>
  <c r="F40" i="6"/>
  <c r="F24" i="6"/>
  <c r="F23" i="6"/>
  <c r="F22" i="6"/>
  <c r="F10" i="6"/>
  <c r="F9" i="6"/>
  <c r="F8" i="6"/>
  <c r="G8" i="6" s="1"/>
  <c r="E858" i="6"/>
  <c r="E695" i="6"/>
  <c r="E660" i="6"/>
  <c r="E604" i="6"/>
  <c r="E574" i="6"/>
  <c r="C564" i="6"/>
  <c r="N882" i="6" l="1"/>
  <c r="K268" i="6"/>
  <c r="L605" i="6"/>
  <c r="L269" i="6"/>
  <c r="M660" i="6"/>
  <c r="O660" i="6" s="1"/>
  <c r="L267" i="6"/>
  <c r="L695" i="6"/>
  <c r="M858" i="6"/>
  <c r="O858" i="6" s="1"/>
  <c r="K273" i="6"/>
  <c r="K272" i="6"/>
  <c r="L492" i="6"/>
  <c r="K271" i="6"/>
  <c r="K270" i="6"/>
  <c r="M574" i="6"/>
  <c r="O574" i="6" s="1"/>
  <c r="M573" i="6"/>
  <c r="O573" i="6" s="1"/>
  <c r="L145" i="6"/>
  <c r="M571" i="6"/>
  <c r="O571" i="6" s="1"/>
  <c r="K145" i="6"/>
  <c r="L858" i="6"/>
  <c r="K695" i="6"/>
  <c r="M695" i="6" s="1"/>
  <c r="O695" i="6" s="1"/>
  <c r="L660" i="6"/>
  <c r="K572" i="6"/>
  <c r="M572" i="6" s="1"/>
  <c r="O572" i="6" s="1"/>
  <c r="L571" i="6"/>
  <c r="L574" i="6"/>
  <c r="L573" i="6"/>
  <c r="L464" i="6"/>
  <c r="K38" i="12"/>
  <c r="K13" i="12"/>
  <c r="K11" i="12"/>
  <c r="K33" i="12"/>
  <c r="K30" i="12"/>
  <c r="K27" i="12"/>
  <c r="K36" i="12" l="1"/>
  <c r="K32" i="12"/>
  <c r="K15" i="12"/>
  <c r="J162" i="7" l="1"/>
  <c r="K142" i="7"/>
  <c r="J238" i="7"/>
  <c r="K238" i="7" s="1"/>
  <c r="J268" i="7"/>
  <c r="K268" i="7" s="1"/>
  <c r="J265" i="7"/>
  <c r="K265" i="7"/>
  <c r="J266" i="7"/>
  <c r="K266" i="7" s="1"/>
  <c r="K201" i="7"/>
  <c r="K205" i="7"/>
  <c r="K206" i="7"/>
  <c r="K207" i="7"/>
  <c r="K208" i="7"/>
  <c r="K209" i="7"/>
  <c r="K210" i="7"/>
  <c r="J198" i="7"/>
  <c r="K198" i="7" s="1"/>
  <c r="K162" i="7"/>
  <c r="J141" i="7"/>
  <c r="K141" i="7" s="1"/>
  <c r="J142" i="7"/>
  <c r="J105" i="7"/>
  <c r="K105" i="7" s="1"/>
  <c r="J106" i="7"/>
  <c r="J107" i="7"/>
  <c r="K107" i="7" s="1"/>
  <c r="K106" i="7"/>
  <c r="J93" i="7"/>
  <c r="K93" i="7" s="1"/>
  <c r="F302" i="7" l="1"/>
  <c r="F303" i="7"/>
  <c r="F304" i="7"/>
  <c r="F305" i="7"/>
  <c r="F306" i="7"/>
  <c r="F301" i="7"/>
  <c r="F279" i="7"/>
  <c r="F280" i="7"/>
  <c r="F281" i="7"/>
  <c r="F282" i="7"/>
  <c r="G282" i="7" s="1"/>
  <c r="F283" i="7"/>
  <c r="G283" i="7" s="1"/>
  <c r="F284" i="7"/>
  <c r="F285" i="7"/>
  <c r="F286" i="7"/>
  <c r="F287" i="7"/>
  <c r="F288" i="7"/>
  <c r="F289" i="7"/>
  <c r="F290" i="7"/>
  <c r="F291" i="7"/>
  <c r="F292" i="7"/>
  <c r="F278" i="7"/>
  <c r="F265" i="7"/>
  <c r="P265" i="7" s="1"/>
  <c r="F266" i="7"/>
  <c r="P266" i="7" s="1"/>
  <c r="F267" i="7"/>
  <c r="F268" i="7"/>
  <c r="P268" i="7" s="1"/>
  <c r="F269" i="7"/>
  <c r="F270" i="7"/>
  <c r="F264" i="7"/>
  <c r="F247" i="7"/>
  <c r="F248" i="7"/>
  <c r="F249" i="7"/>
  <c r="F250" i="7"/>
  <c r="F251" i="7"/>
  <c r="F252" i="7"/>
  <c r="F253" i="7"/>
  <c r="F254" i="7"/>
  <c r="F255" i="7"/>
  <c r="F246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24" i="7"/>
  <c r="F199" i="7"/>
  <c r="F200" i="7"/>
  <c r="F202" i="7"/>
  <c r="F203" i="7"/>
  <c r="F204" i="7"/>
  <c r="F205" i="7"/>
  <c r="F206" i="7"/>
  <c r="F207" i="7"/>
  <c r="F208" i="7"/>
  <c r="F209" i="7"/>
  <c r="F210" i="7"/>
  <c r="F211" i="7"/>
  <c r="F198" i="7"/>
  <c r="P198" i="7" s="1"/>
  <c r="F181" i="7"/>
  <c r="F182" i="7"/>
  <c r="F183" i="7"/>
  <c r="F184" i="7"/>
  <c r="F185" i="7"/>
  <c r="F186" i="7"/>
  <c r="F187" i="7"/>
  <c r="F188" i="7"/>
  <c r="F189" i="7"/>
  <c r="F180" i="7"/>
  <c r="F161" i="7"/>
  <c r="F162" i="7"/>
  <c r="P162" i="7" s="1"/>
  <c r="F163" i="7"/>
  <c r="F164" i="7"/>
  <c r="G164" i="7" s="1"/>
  <c r="F165" i="7"/>
  <c r="F166" i="7"/>
  <c r="F167" i="7"/>
  <c r="F168" i="7"/>
  <c r="G168" i="7" s="1"/>
  <c r="F160" i="7"/>
  <c r="F141" i="7"/>
  <c r="F142" i="7"/>
  <c r="F143" i="7"/>
  <c r="F144" i="7"/>
  <c r="G144" i="7" s="1"/>
  <c r="F145" i="7"/>
  <c r="F146" i="7"/>
  <c r="G146" i="7" s="1"/>
  <c r="F147" i="7"/>
  <c r="F148" i="7"/>
  <c r="F149" i="7"/>
  <c r="F150" i="7"/>
  <c r="F140" i="7"/>
  <c r="F124" i="7"/>
  <c r="F125" i="7"/>
  <c r="F126" i="7"/>
  <c r="F127" i="7"/>
  <c r="F128" i="7"/>
  <c r="F129" i="7"/>
  <c r="F130" i="7"/>
  <c r="F131" i="7"/>
  <c r="F123" i="7"/>
  <c r="F104" i="7"/>
  <c r="F105" i="7"/>
  <c r="F106" i="7"/>
  <c r="G106" i="7" s="1"/>
  <c r="F107" i="7"/>
  <c r="F108" i="7"/>
  <c r="G108" i="7" s="1"/>
  <c r="F109" i="7"/>
  <c r="F110" i="7"/>
  <c r="F111" i="7"/>
  <c r="F112" i="7"/>
  <c r="F113" i="7"/>
  <c r="F114" i="7"/>
  <c r="F103" i="7"/>
  <c r="F90" i="7"/>
  <c r="F91" i="7"/>
  <c r="F92" i="7"/>
  <c r="F93" i="7"/>
  <c r="F94" i="7"/>
  <c r="F95" i="7"/>
  <c r="F89" i="7"/>
  <c r="F72" i="7"/>
  <c r="F73" i="7"/>
  <c r="F74" i="7"/>
  <c r="F75" i="7"/>
  <c r="F76" i="7"/>
  <c r="F77" i="7"/>
  <c r="F71" i="7"/>
  <c r="F58" i="7"/>
  <c r="F59" i="7"/>
  <c r="F60" i="7"/>
  <c r="F61" i="7"/>
  <c r="F62" i="7"/>
  <c r="F63" i="7"/>
  <c r="F57" i="7"/>
  <c r="F44" i="7"/>
  <c r="F45" i="7"/>
  <c r="F46" i="7"/>
  <c r="F47" i="7"/>
  <c r="F48" i="7"/>
  <c r="F49" i="7"/>
  <c r="F43" i="7"/>
  <c r="F27" i="7"/>
  <c r="F28" i="7"/>
  <c r="F29" i="7"/>
  <c r="F30" i="7"/>
  <c r="F31" i="7"/>
  <c r="F32" i="7"/>
  <c r="F33" i="7"/>
  <c r="F34" i="7"/>
  <c r="F35" i="7"/>
  <c r="F36" i="7"/>
  <c r="F37" i="7"/>
  <c r="F38" i="7"/>
  <c r="F26" i="7"/>
  <c r="G26" i="7" s="1"/>
  <c r="F9" i="7"/>
  <c r="G9" i="7" s="1"/>
  <c r="F10" i="7"/>
  <c r="F11" i="7"/>
  <c r="F12" i="7"/>
  <c r="F13" i="7"/>
  <c r="F14" i="7"/>
  <c r="F8" i="7"/>
  <c r="F729" i="7"/>
  <c r="F730" i="7"/>
  <c r="F731" i="7"/>
  <c r="F732" i="7"/>
  <c r="F733" i="7"/>
  <c r="F734" i="7"/>
  <c r="F735" i="7"/>
  <c r="F736" i="7"/>
  <c r="F737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31" i="7"/>
  <c r="F832" i="7"/>
  <c r="F833" i="7"/>
  <c r="F834" i="7"/>
  <c r="F835" i="7"/>
  <c r="F836" i="7"/>
  <c r="F837" i="7"/>
  <c r="F838" i="7"/>
  <c r="F728" i="7"/>
  <c r="G728" i="7" s="1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662" i="7"/>
  <c r="F611" i="7"/>
  <c r="F612" i="7"/>
  <c r="F610" i="7"/>
  <c r="G610" i="7" s="1"/>
  <c r="F571" i="7"/>
  <c r="F572" i="7"/>
  <c r="F570" i="7"/>
  <c r="G570" i="7" s="1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491" i="7"/>
  <c r="G491" i="7" s="1"/>
  <c r="F425" i="7"/>
  <c r="F426" i="7"/>
  <c r="F424" i="7"/>
  <c r="F378" i="7"/>
  <c r="F379" i="7"/>
  <c r="F377" i="7"/>
  <c r="G377" i="7" s="1"/>
  <c r="G93" i="7"/>
  <c r="G266" i="7"/>
  <c r="G268" i="7"/>
  <c r="F190" i="7"/>
  <c r="F1195" i="7"/>
  <c r="F1196" i="7"/>
  <c r="F1194" i="7"/>
  <c r="F1192" i="7"/>
  <c r="G1192" i="7" s="1"/>
  <c r="F1177" i="7"/>
  <c r="F1176" i="7"/>
  <c r="G1176" i="7" s="1"/>
  <c r="F1096" i="7"/>
  <c r="F1097" i="7"/>
  <c r="F1095" i="7"/>
  <c r="G1095" i="7" s="1"/>
  <c r="F1056" i="7"/>
  <c r="F1057" i="7"/>
  <c r="F1055" i="7"/>
  <c r="G1055" i="7" s="1"/>
  <c r="F986" i="7"/>
  <c r="G986" i="7" s="1"/>
  <c r="F937" i="7"/>
  <c r="F938" i="7"/>
  <c r="F936" i="7"/>
  <c r="F860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19" i="7"/>
  <c r="F920" i="7"/>
  <c r="F921" i="7"/>
  <c r="F859" i="7"/>
  <c r="G859" i="7" s="1"/>
  <c r="G57" i="7"/>
  <c r="G301" i="7"/>
  <c r="G246" i="7"/>
  <c r="G224" i="7"/>
  <c r="G180" i="7"/>
  <c r="G89" i="7"/>
  <c r="G71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1" i="7"/>
  <c r="F952" i="7"/>
  <c r="F953" i="7"/>
  <c r="F954" i="7"/>
  <c r="F955" i="7"/>
  <c r="F95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G284" i="7"/>
  <c r="G279" i="7"/>
  <c r="G280" i="7"/>
  <c r="G278" i="7"/>
  <c r="G269" i="7"/>
  <c r="G270" i="7"/>
  <c r="G265" i="7"/>
  <c r="G264" i="7"/>
  <c r="G238" i="7"/>
  <c r="G200" i="7"/>
  <c r="G198" i="7"/>
  <c r="G163" i="7"/>
  <c r="G160" i="7"/>
  <c r="G150" i="7"/>
  <c r="G145" i="7"/>
  <c r="G141" i="7"/>
  <c r="G142" i="7"/>
  <c r="G104" i="7"/>
  <c r="G103" i="7"/>
  <c r="E301" i="7"/>
  <c r="E1095" i="7"/>
  <c r="E1192" i="7"/>
  <c r="E1176" i="7"/>
  <c r="E1055" i="7"/>
  <c r="E986" i="7"/>
  <c r="E1040" i="7" s="1"/>
  <c r="E859" i="7"/>
  <c r="E728" i="7"/>
  <c r="E610" i="7"/>
  <c r="E570" i="7"/>
  <c r="E491" i="7"/>
  <c r="E377" i="7"/>
  <c r="E279" i="7"/>
  <c r="E265" i="7"/>
  <c r="R265" i="7" s="1"/>
  <c r="E246" i="7"/>
  <c r="E224" i="7"/>
  <c r="E198" i="7"/>
  <c r="E180" i="7"/>
  <c r="E160" i="7"/>
  <c r="E141" i="7"/>
  <c r="E123" i="7"/>
  <c r="E103" i="7"/>
  <c r="E89" i="7"/>
  <c r="E71" i="7"/>
  <c r="E57" i="7"/>
  <c r="E43" i="7"/>
  <c r="E26" i="7"/>
  <c r="E9" i="7"/>
  <c r="E93" i="7"/>
  <c r="E8" i="7"/>
  <c r="E278" i="7"/>
  <c r="E268" i="7"/>
  <c r="R268" i="7" s="1"/>
  <c r="E266" i="7"/>
  <c r="R266" i="7" s="1"/>
  <c r="E264" i="7"/>
  <c r="E238" i="7"/>
  <c r="E200" i="7"/>
  <c r="E162" i="7"/>
  <c r="E142" i="7"/>
  <c r="R142" i="7" s="1"/>
  <c r="E140" i="7"/>
  <c r="E106" i="7"/>
  <c r="R106" i="7" s="1"/>
  <c r="R198" i="7" l="1"/>
  <c r="G162" i="7"/>
  <c r="R162" i="7" s="1"/>
  <c r="R141" i="7"/>
  <c r="G275" i="7"/>
  <c r="C275" i="7"/>
  <c r="C243" i="7"/>
  <c r="J233" i="7"/>
  <c r="K233" i="7" s="1"/>
  <c r="G233" i="7"/>
  <c r="E233" i="7"/>
  <c r="C221" i="7"/>
  <c r="C177" i="7"/>
  <c r="C155" i="7"/>
  <c r="O119" i="7"/>
  <c r="C119" i="7"/>
  <c r="G177" i="7" l="1"/>
  <c r="R233" i="7"/>
  <c r="P233" i="7"/>
  <c r="E527" i="6"/>
  <c r="C550" i="6"/>
  <c r="E554" i="6"/>
  <c r="M554" i="6" s="1"/>
  <c r="E464" i="6"/>
  <c r="M464" i="6" s="1"/>
  <c r="O464" i="6" s="1"/>
  <c r="G266" i="6"/>
  <c r="F206" i="6"/>
  <c r="F207" i="6"/>
  <c r="F208" i="6"/>
  <c r="F209" i="6"/>
  <c r="F210" i="6"/>
  <c r="F211" i="6"/>
  <c r="F212" i="6"/>
  <c r="F213" i="6"/>
  <c r="G146" i="6"/>
  <c r="E369" i="6"/>
  <c r="C263" i="6"/>
  <c r="E266" i="6"/>
  <c r="E267" i="6"/>
  <c r="M267" i="6" s="1"/>
  <c r="O267" i="6" s="1"/>
  <c r="E268" i="6"/>
  <c r="M268" i="6" s="1"/>
  <c r="O268" i="6" s="1"/>
  <c r="E269" i="6"/>
  <c r="M269" i="6" s="1"/>
  <c r="O269" i="6" s="1"/>
  <c r="E270" i="6"/>
  <c r="M270" i="6" s="1"/>
  <c r="O270" i="6" s="1"/>
  <c r="E271" i="6"/>
  <c r="M271" i="6" s="1"/>
  <c r="O271" i="6" s="1"/>
  <c r="E272" i="6"/>
  <c r="M272" i="6" s="1"/>
  <c r="O272" i="6" s="1"/>
  <c r="E273" i="6"/>
  <c r="M273" i="6" s="1"/>
  <c r="O273" i="6" s="1"/>
  <c r="E234" i="6"/>
  <c r="E190" i="6"/>
  <c r="E145" i="6"/>
  <c r="M145" i="6" s="1"/>
  <c r="O145" i="6" s="1"/>
  <c r="E98" i="6"/>
  <c r="E53" i="6"/>
  <c r="E9" i="6"/>
  <c r="M266" i="6" l="1"/>
  <c r="O266" i="6" s="1"/>
  <c r="E550" i="6"/>
  <c r="M550" i="6"/>
  <c r="O554" i="6"/>
  <c r="J547" i="6"/>
  <c r="K547" i="6" s="1"/>
  <c r="E547" i="6"/>
  <c r="J540" i="6"/>
  <c r="K540" i="6" s="1"/>
  <c r="E540" i="6"/>
  <c r="J539" i="6"/>
  <c r="K539" i="6" s="1"/>
  <c r="E539" i="6"/>
  <c r="C537" i="6"/>
  <c r="J532" i="6"/>
  <c r="K532" i="6" s="1"/>
  <c r="E532" i="6"/>
  <c r="J531" i="6"/>
  <c r="K531" i="6" s="1"/>
  <c r="E531" i="6"/>
  <c r="J528" i="6"/>
  <c r="K528" i="6" s="1"/>
  <c r="E528" i="6"/>
  <c r="J527" i="6"/>
  <c r="K527" i="6" s="1"/>
  <c r="C525" i="6"/>
  <c r="J516" i="6"/>
  <c r="K516" i="6" s="1"/>
  <c r="K512" i="6" s="1"/>
  <c r="C512" i="6"/>
  <c r="J508" i="6"/>
  <c r="K508" i="6" s="1"/>
  <c r="E508" i="6"/>
  <c r="J507" i="6"/>
  <c r="K507" i="6" s="1"/>
  <c r="J502" i="6"/>
  <c r="K502" i="6" s="1"/>
  <c r="E502" i="6"/>
  <c r="J501" i="6"/>
  <c r="K501" i="6" s="1"/>
  <c r="C499" i="6"/>
  <c r="E498" i="6"/>
  <c r="E497" i="6"/>
  <c r="E496" i="6"/>
  <c r="E495" i="6"/>
  <c r="J494" i="6"/>
  <c r="K494" i="6" s="1"/>
  <c r="E492" i="6"/>
  <c r="M492" i="6" s="1"/>
  <c r="O492" i="6" s="1"/>
  <c r="J491" i="6"/>
  <c r="K491" i="6" s="1"/>
  <c r="J490" i="6"/>
  <c r="K490" i="6" s="1"/>
  <c r="E490" i="6"/>
  <c r="C488" i="6"/>
  <c r="J479" i="6"/>
  <c r="K479" i="6" s="1"/>
  <c r="K475" i="6" s="1"/>
  <c r="C475" i="6"/>
  <c r="J465" i="6"/>
  <c r="K465" i="6" s="1"/>
  <c r="K462" i="6" s="1"/>
  <c r="E465" i="6"/>
  <c r="E462" i="6" s="1"/>
  <c r="C462" i="6"/>
  <c r="F461" i="6"/>
  <c r="G461" i="6" s="1"/>
  <c r="F460" i="6"/>
  <c r="G460" i="6" s="1"/>
  <c r="F459" i="6"/>
  <c r="G459" i="6" s="1"/>
  <c r="F458" i="6"/>
  <c r="G458" i="6" s="1"/>
  <c r="F457" i="6"/>
  <c r="G457" i="6" s="1"/>
  <c r="F456" i="6"/>
  <c r="G456" i="6" s="1"/>
  <c r="F455" i="6"/>
  <c r="G455" i="6" s="1"/>
  <c r="J454" i="6"/>
  <c r="K454" i="6" s="1"/>
  <c r="J453" i="6"/>
  <c r="K453" i="6" s="1"/>
  <c r="E453" i="6"/>
  <c r="C451" i="6"/>
  <c r="J406" i="6"/>
  <c r="K406" i="6" s="1"/>
  <c r="K398" i="6" s="1"/>
  <c r="C398" i="6"/>
  <c r="O397" i="6"/>
  <c r="J396" i="6"/>
  <c r="K396" i="6" s="1"/>
  <c r="E396" i="6"/>
  <c r="J395" i="6"/>
  <c r="K395" i="6" s="1"/>
  <c r="E395" i="6"/>
  <c r="J394" i="6"/>
  <c r="K394" i="6" s="1"/>
  <c r="E394" i="6"/>
  <c r="J393" i="6"/>
  <c r="K393" i="6" s="1"/>
  <c r="E393" i="6"/>
  <c r="J392" i="6"/>
  <c r="K392" i="6" s="1"/>
  <c r="E392" i="6"/>
  <c r="J391" i="6"/>
  <c r="K391" i="6" s="1"/>
  <c r="E391" i="6"/>
  <c r="J390" i="6"/>
  <c r="K390" i="6" s="1"/>
  <c r="E390" i="6"/>
  <c r="J389" i="6"/>
  <c r="K389" i="6" s="1"/>
  <c r="E389" i="6"/>
  <c r="J388" i="6"/>
  <c r="K388" i="6" s="1"/>
  <c r="E388" i="6"/>
  <c r="J387" i="6"/>
  <c r="K387" i="6" s="1"/>
  <c r="E387" i="6"/>
  <c r="J386" i="6"/>
  <c r="K386" i="6" s="1"/>
  <c r="E386" i="6"/>
  <c r="J385" i="6"/>
  <c r="K385" i="6" s="1"/>
  <c r="E385" i="6"/>
  <c r="J384" i="6"/>
  <c r="K384" i="6" s="1"/>
  <c r="E384" i="6"/>
  <c r="J383" i="6"/>
  <c r="K383" i="6" s="1"/>
  <c r="J382" i="6"/>
  <c r="K382" i="6" s="1"/>
  <c r="E382" i="6"/>
  <c r="C380" i="6"/>
  <c r="M379" i="6"/>
  <c r="L379" i="6"/>
  <c r="M378" i="6"/>
  <c r="L378" i="6"/>
  <c r="M377" i="6"/>
  <c r="L377" i="6"/>
  <c r="M376" i="6"/>
  <c r="L376" i="6"/>
  <c r="M375" i="6"/>
  <c r="L375" i="6"/>
  <c r="M374" i="6"/>
  <c r="L374" i="6"/>
  <c r="M373" i="6"/>
  <c r="L373" i="6"/>
  <c r="M372" i="6"/>
  <c r="L372" i="6"/>
  <c r="M371" i="6"/>
  <c r="L371" i="6"/>
  <c r="J370" i="6"/>
  <c r="K370" i="6" s="1"/>
  <c r="E370" i="6"/>
  <c r="J369" i="6"/>
  <c r="K369" i="6" s="1"/>
  <c r="J368" i="6"/>
  <c r="K368" i="6" s="1"/>
  <c r="E368" i="6"/>
  <c r="C366" i="6"/>
  <c r="J364" i="6"/>
  <c r="K364" i="6" s="1"/>
  <c r="E364" i="6"/>
  <c r="J363" i="6"/>
  <c r="K363" i="6" s="1"/>
  <c r="G363" i="6"/>
  <c r="E363" i="6"/>
  <c r="J362" i="6"/>
  <c r="K362" i="6" s="1"/>
  <c r="E362" i="6"/>
  <c r="C354" i="6"/>
  <c r="J353" i="6"/>
  <c r="K353" i="6" s="1"/>
  <c r="E353" i="6"/>
  <c r="J352" i="6"/>
  <c r="K352" i="6" s="1"/>
  <c r="G352" i="6"/>
  <c r="E352" i="6"/>
  <c r="J351" i="6"/>
  <c r="K351" i="6" s="1"/>
  <c r="G351" i="6"/>
  <c r="E351" i="6"/>
  <c r="J350" i="6"/>
  <c r="K350" i="6" s="1"/>
  <c r="G350" i="6"/>
  <c r="E350" i="6"/>
  <c r="J349" i="6"/>
  <c r="K349" i="6" s="1"/>
  <c r="E349" i="6"/>
  <c r="J348" i="6"/>
  <c r="K348" i="6" s="1"/>
  <c r="E348" i="6"/>
  <c r="C336" i="6"/>
  <c r="J334" i="6"/>
  <c r="K334" i="6" s="1"/>
  <c r="E334" i="6"/>
  <c r="J333" i="6"/>
  <c r="K333" i="6" s="1"/>
  <c r="E333" i="6"/>
  <c r="J332" i="6"/>
  <c r="K332" i="6" s="1"/>
  <c r="E332" i="6"/>
  <c r="J331" i="6"/>
  <c r="K331" i="6" s="1"/>
  <c r="E331" i="6"/>
  <c r="J330" i="6"/>
  <c r="K330" i="6" s="1"/>
  <c r="E330" i="6"/>
  <c r="J329" i="6"/>
  <c r="K329" i="6" s="1"/>
  <c r="E329" i="6"/>
  <c r="J328" i="6"/>
  <c r="K328" i="6" s="1"/>
  <c r="E328" i="6"/>
  <c r="J327" i="6"/>
  <c r="K327" i="6" s="1"/>
  <c r="E327" i="6"/>
  <c r="C322" i="6"/>
  <c r="J318" i="6"/>
  <c r="K318" i="6" s="1"/>
  <c r="K310" i="6" s="1"/>
  <c r="C310" i="6"/>
  <c r="O309" i="6"/>
  <c r="K309" i="6"/>
  <c r="G309" i="6"/>
  <c r="E309" i="6"/>
  <c r="O308" i="6"/>
  <c r="K308" i="6"/>
  <c r="G308" i="6"/>
  <c r="E308" i="6"/>
  <c r="O307" i="6"/>
  <c r="K307" i="6"/>
  <c r="G307" i="6"/>
  <c r="E307" i="6"/>
  <c r="J306" i="6"/>
  <c r="K306" i="6" s="1"/>
  <c r="E306" i="6"/>
  <c r="J305" i="6"/>
  <c r="K305" i="6" s="1"/>
  <c r="J304" i="6"/>
  <c r="K304" i="6" s="1"/>
  <c r="E304" i="6"/>
  <c r="C292" i="6"/>
  <c r="J285" i="6"/>
  <c r="K285" i="6" s="1"/>
  <c r="E285" i="6"/>
  <c r="J284" i="6"/>
  <c r="K284" i="6" s="1"/>
  <c r="J283" i="6"/>
  <c r="K283" i="6" s="1"/>
  <c r="E283" i="6"/>
  <c r="C278" i="6"/>
  <c r="J265" i="6"/>
  <c r="K265" i="6" s="1"/>
  <c r="K263" i="6" s="1"/>
  <c r="O262" i="6"/>
  <c r="G262" i="6"/>
  <c r="O261" i="6"/>
  <c r="G261" i="6"/>
  <c r="O260" i="6"/>
  <c r="G260" i="6"/>
  <c r="O259" i="6"/>
  <c r="G259" i="6"/>
  <c r="O258" i="6"/>
  <c r="G258" i="6"/>
  <c r="O257" i="6"/>
  <c r="G257" i="6"/>
  <c r="O256" i="6"/>
  <c r="G256" i="6"/>
  <c r="O255" i="6"/>
  <c r="G255" i="6"/>
  <c r="O254" i="6"/>
  <c r="G254" i="6"/>
  <c r="O253" i="6"/>
  <c r="G253" i="6"/>
  <c r="O252" i="6"/>
  <c r="G252" i="6"/>
  <c r="O251" i="6"/>
  <c r="G251" i="6"/>
  <c r="O250" i="6"/>
  <c r="G250" i="6"/>
  <c r="J249" i="6"/>
  <c r="K249" i="6" s="1"/>
  <c r="E249" i="6"/>
  <c r="J248" i="6"/>
  <c r="K248" i="6" s="1"/>
  <c r="E248" i="6"/>
  <c r="J247" i="6"/>
  <c r="K247" i="6" s="1"/>
  <c r="C245" i="6"/>
  <c r="J244" i="6"/>
  <c r="J243" i="6"/>
  <c r="J242" i="6"/>
  <c r="J241" i="6"/>
  <c r="J240" i="6"/>
  <c r="J239" i="6"/>
  <c r="J238" i="6"/>
  <c r="J237" i="6"/>
  <c r="J236" i="6"/>
  <c r="J235" i="6"/>
  <c r="K235" i="6" s="1"/>
  <c r="E235" i="6"/>
  <c r="J234" i="6"/>
  <c r="K234" i="6" s="1"/>
  <c r="J233" i="6"/>
  <c r="K233" i="6" s="1"/>
  <c r="E233" i="6"/>
  <c r="C231" i="6"/>
  <c r="J227" i="6"/>
  <c r="K227" i="6" s="1"/>
  <c r="K219" i="6" s="1"/>
  <c r="C219" i="6"/>
  <c r="O213" i="6"/>
  <c r="O212" i="6"/>
  <c r="O211" i="6"/>
  <c r="O210" i="6"/>
  <c r="O209" i="6"/>
  <c r="O208" i="6"/>
  <c r="O207" i="6"/>
  <c r="O206" i="6"/>
  <c r="J205" i="6"/>
  <c r="K205" i="6" s="1"/>
  <c r="G205" i="6"/>
  <c r="E205" i="6"/>
  <c r="J204" i="6"/>
  <c r="K204" i="6" s="1"/>
  <c r="E204" i="6"/>
  <c r="J203" i="6"/>
  <c r="K203" i="6" s="1"/>
  <c r="E203" i="6"/>
  <c r="C201" i="6"/>
  <c r="E192" i="6"/>
  <c r="J191" i="6"/>
  <c r="K191" i="6" s="1"/>
  <c r="G191" i="6"/>
  <c r="E191" i="6"/>
  <c r="J190" i="6"/>
  <c r="K190" i="6" s="1"/>
  <c r="J189" i="6"/>
  <c r="K189" i="6" s="1"/>
  <c r="E189" i="6"/>
  <c r="C187" i="6"/>
  <c r="J174" i="6"/>
  <c r="K174" i="6" s="1"/>
  <c r="J173" i="6"/>
  <c r="K173" i="6" s="1"/>
  <c r="J172" i="6"/>
  <c r="K172" i="6" s="1"/>
  <c r="J171" i="6"/>
  <c r="K171" i="6" s="1"/>
  <c r="G171" i="6"/>
  <c r="J170" i="6"/>
  <c r="K170" i="6" s="1"/>
  <c r="J169" i="6"/>
  <c r="L169" i="6" s="1"/>
  <c r="J168" i="6"/>
  <c r="K168" i="6" s="1"/>
  <c r="J167" i="6"/>
  <c r="K167" i="6" s="1"/>
  <c r="G167" i="6"/>
  <c r="J166" i="6"/>
  <c r="K166" i="6" s="1"/>
  <c r="J165" i="6"/>
  <c r="L165" i="6" s="1"/>
  <c r="J164" i="6"/>
  <c r="K164" i="6" s="1"/>
  <c r="J163" i="6"/>
  <c r="K163" i="6" s="1"/>
  <c r="G163" i="6"/>
  <c r="J162" i="6"/>
  <c r="K162" i="6" s="1"/>
  <c r="J161" i="6"/>
  <c r="L161" i="6" s="1"/>
  <c r="E161" i="6"/>
  <c r="J160" i="6"/>
  <c r="K160" i="6" s="1"/>
  <c r="E160" i="6"/>
  <c r="C157" i="6"/>
  <c r="J156" i="6"/>
  <c r="K156" i="6" s="1"/>
  <c r="J155" i="6"/>
  <c r="K155" i="6" s="1"/>
  <c r="M155" i="6" s="1"/>
  <c r="O155" i="6" s="1"/>
  <c r="J154" i="6"/>
  <c r="K154" i="6" s="1"/>
  <c r="M154" i="6" s="1"/>
  <c r="O154" i="6" s="1"/>
  <c r="J153" i="6"/>
  <c r="K153" i="6" s="1"/>
  <c r="M153" i="6" s="1"/>
  <c r="O153" i="6" s="1"/>
  <c r="J152" i="6"/>
  <c r="K152" i="6" s="1"/>
  <c r="M152" i="6" s="1"/>
  <c r="O152" i="6" s="1"/>
  <c r="J151" i="6"/>
  <c r="K151" i="6" s="1"/>
  <c r="M151" i="6" s="1"/>
  <c r="O151" i="6" s="1"/>
  <c r="J150" i="6"/>
  <c r="K150" i="6" s="1"/>
  <c r="M150" i="6" s="1"/>
  <c r="O150" i="6" s="1"/>
  <c r="J149" i="6"/>
  <c r="K149" i="6" s="1"/>
  <c r="M149" i="6" s="1"/>
  <c r="O149" i="6" s="1"/>
  <c r="J148" i="6"/>
  <c r="K148" i="6" s="1"/>
  <c r="M148" i="6" s="1"/>
  <c r="O148" i="6" s="1"/>
  <c r="J147" i="6"/>
  <c r="K147" i="6" s="1"/>
  <c r="E147" i="6"/>
  <c r="J146" i="6"/>
  <c r="K146" i="6" s="1"/>
  <c r="E146" i="6"/>
  <c r="C143" i="6"/>
  <c r="E141" i="6"/>
  <c r="E140" i="6"/>
  <c r="E139" i="6"/>
  <c r="E138" i="6"/>
  <c r="E137" i="6"/>
  <c r="E136" i="6"/>
  <c r="E135" i="6"/>
  <c r="E134" i="6"/>
  <c r="J133" i="6"/>
  <c r="K133" i="6" s="1"/>
  <c r="K131" i="6" s="1"/>
  <c r="E133" i="6"/>
  <c r="C131" i="6"/>
  <c r="J121" i="6"/>
  <c r="K121" i="6" s="1"/>
  <c r="E121" i="6"/>
  <c r="E119" i="6"/>
  <c r="E118" i="6"/>
  <c r="E117" i="6"/>
  <c r="J116" i="6"/>
  <c r="K116" i="6" s="1"/>
  <c r="E116" i="6"/>
  <c r="J115" i="6"/>
  <c r="K115" i="6" s="1"/>
  <c r="G115" i="6"/>
  <c r="E115" i="6"/>
  <c r="J114" i="6"/>
  <c r="K114" i="6" s="1"/>
  <c r="E114" i="6"/>
  <c r="C112" i="6"/>
  <c r="J109" i="6"/>
  <c r="K109" i="6" s="1"/>
  <c r="E109" i="6"/>
  <c r="J107" i="6"/>
  <c r="K107" i="6" s="1"/>
  <c r="E107" i="6"/>
  <c r="J106" i="6"/>
  <c r="K106" i="6" s="1"/>
  <c r="G106" i="6"/>
  <c r="E106" i="6"/>
  <c r="J105" i="6"/>
  <c r="K105" i="6" s="1"/>
  <c r="G105" i="6"/>
  <c r="E105" i="6"/>
  <c r="J104" i="6"/>
  <c r="K104" i="6" s="1"/>
  <c r="G104" i="6"/>
  <c r="E104" i="6"/>
  <c r="J103" i="6"/>
  <c r="K103" i="6" s="1"/>
  <c r="G103" i="6"/>
  <c r="E103" i="6"/>
  <c r="J102" i="6"/>
  <c r="K102" i="6" s="1"/>
  <c r="G102" i="6"/>
  <c r="E102" i="6"/>
  <c r="J101" i="6"/>
  <c r="K101" i="6" s="1"/>
  <c r="G101" i="6"/>
  <c r="E101" i="6"/>
  <c r="J100" i="6"/>
  <c r="K100" i="6" s="1"/>
  <c r="G100" i="6"/>
  <c r="E100" i="6"/>
  <c r="J99" i="6"/>
  <c r="K99" i="6" s="1"/>
  <c r="G99" i="6"/>
  <c r="E99" i="6"/>
  <c r="J98" i="6"/>
  <c r="K98" i="6" s="1"/>
  <c r="G98" i="6"/>
  <c r="J97" i="6"/>
  <c r="K97" i="6" s="1"/>
  <c r="E97" i="6"/>
  <c r="C95" i="6"/>
  <c r="F93" i="6"/>
  <c r="F92" i="6"/>
  <c r="F91" i="6"/>
  <c r="F90" i="6"/>
  <c r="F89" i="6"/>
  <c r="F88" i="6"/>
  <c r="F87" i="6"/>
  <c r="F86" i="6"/>
  <c r="J85" i="6"/>
  <c r="K85" i="6" s="1"/>
  <c r="E85" i="6"/>
  <c r="J84" i="6"/>
  <c r="K84" i="6" s="1"/>
  <c r="C82" i="6"/>
  <c r="J70" i="6"/>
  <c r="K70" i="6" s="1"/>
  <c r="E70" i="6"/>
  <c r="J69" i="6"/>
  <c r="K69" i="6" s="1"/>
  <c r="E69" i="6"/>
  <c r="J68" i="6"/>
  <c r="K68" i="6" s="1"/>
  <c r="E68" i="6"/>
  <c r="J67" i="6"/>
  <c r="K67" i="6" s="1"/>
  <c r="J66" i="6"/>
  <c r="K66" i="6" s="1"/>
  <c r="E66" i="6"/>
  <c r="C64" i="6"/>
  <c r="J63" i="6"/>
  <c r="J62" i="6"/>
  <c r="J61" i="6"/>
  <c r="J60" i="6"/>
  <c r="J59" i="6"/>
  <c r="J58" i="6"/>
  <c r="J57" i="6"/>
  <c r="J56" i="6"/>
  <c r="J55" i="6"/>
  <c r="J54" i="6"/>
  <c r="K54" i="6" s="1"/>
  <c r="E54" i="6"/>
  <c r="J53" i="6"/>
  <c r="K53" i="6" s="1"/>
  <c r="J52" i="6"/>
  <c r="K52" i="6" s="1"/>
  <c r="E52" i="6"/>
  <c r="C50" i="6"/>
  <c r="J40" i="6"/>
  <c r="K40" i="6" s="1"/>
  <c r="K38" i="6" s="1"/>
  <c r="E40" i="6"/>
  <c r="C38" i="6"/>
  <c r="J24" i="6"/>
  <c r="K24" i="6" s="1"/>
  <c r="G24" i="6"/>
  <c r="E24" i="6"/>
  <c r="J23" i="6"/>
  <c r="K23" i="6" s="1"/>
  <c r="E23" i="6"/>
  <c r="J22" i="6"/>
  <c r="K22" i="6" s="1"/>
  <c r="C20" i="6"/>
  <c r="J19" i="6"/>
  <c r="J18" i="6"/>
  <c r="J17" i="6"/>
  <c r="J16" i="6"/>
  <c r="J15" i="6"/>
  <c r="J14" i="6"/>
  <c r="J13" i="6"/>
  <c r="J12" i="6"/>
  <c r="J11" i="6"/>
  <c r="J10" i="6"/>
  <c r="K10" i="6" s="1"/>
  <c r="E10" i="6"/>
  <c r="J9" i="6"/>
  <c r="K9" i="6" s="1"/>
  <c r="J8" i="6"/>
  <c r="K8" i="6" s="1"/>
  <c r="C6" i="6"/>
  <c r="J863" i="6"/>
  <c r="K863" i="6" s="1"/>
  <c r="J862" i="6"/>
  <c r="K862" i="6" s="1"/>
  <c r="E862" i="6"/>
  <c r="J857" i="6"/>
  <c r="K857" i="6" s="1"/>
  <c r="C855" i="6"/>
  <c r="J850" i="6"/>
  <c r="K850" i="6" s="1"/>
  <c r="E850" i="6"/>
  <c r="J847" i="6"/>
  <c r="K847" i="6" s="1"/>
  <c r="C845" i="6"/>
  <c r="O820" i="6"/>
  <c r="M820" i="6"/>
  <c r="K820" i="6"/>
  <c r="G820" i="6"/>
  <c r="E820" i="6"/>
  <c r="C820" i="6"/>
  <c r="J819" i="6"/>
  <c r="K819" i="6" s="1"/>
  <c r="J810" i="6"/>
  <c r="K810" i="6" s="1"/>
  <c r="E810" i="6"/>
  <c r="J809" i="6"/>
  <c r="K809" i="6" s="1"/>
  <c r="C807" i="6"/>
  <c r="J806" i="6"/>
  <c r="K806" i="6" s="1"/>
  <c r="E806" i="6"/>
  <c r="J802" i="6"/>
  <c r="K802" i="6" s="1"/>
  <c r="J800" i="6"/>
  <c r="K800" i="6" s="1"/>
  <c r="G800" i="6"/>
  <c r="E800" i="6"/>
  <c r="J799" i="6"/>
  <c r="K799" i="6" s="1"/>
  <c r="E799" i="6"/>
  <c r="J798" i="6"/>
  <c r="K798" i="6" s="1"/>
  <c r="C796" i="6"/>
  <c r="J787" i="6"/>
  <c r="K787" i="6" s="1"/>
  <c r="K783" i="6" s="1"/>
  <c r="E787" i="6"/>
  <c r="E783" i="6" s="1"/>
  <c r="C783" i="6"/>
  <c r="J780" i="6"/>
  <c r="K780" i="6" s="1"/>
  <c r="E780" i="6"/>
  <c r="J773" i="6"/>
  <c r="K773" i="6" s="1"/>
  <c r="G773" i="6"/>
  <c r="E773" i="6"/>
  <c r="J772" i="6"/>
  <c r="K772" i="6" s="1"/>
  <c r="E772" i="6"/>
  <c r="C769" i="6"/>
  <c r="J764" i="6"/>
  <c r="K764" i="6" s="1"/>
  <c r="E764" i="6"/>
  <c r="J761" i="6"/>
  <c r="K761" i="6" s="1"/>
  <c r="G761" i="6"/>
  <c r="E761" i="6"/>
  <c r="J760" i="6"/>
  <c r="K760" i="6" s="1"/>
  <c r="E760" i="6"/>
  <c r="J759" i="6"/>
  <c r="K759" i="6" s="1"/>
  <c r="E759" i="6"/>
  <c r="C757" i="6"/>
  <c r="J747" i="6"/>
  <c r="K747" i="6" s="1"/>
  <c r="K743" i="6" s="1"/>
  <c r="C743" i="6"/>
  <c r="J740" i="6"/>
  <c r="K740" i="6" s="1"/>
  <c r="E740" i="6"/>
  <c r="J733" i="6"/>
  <c r="K733" i="6" s="1"/>
  <c r="C731" i="6"/>
  <c r="J726" i="6"/>
  <c r="K726" i="6" s="1"/>
  <c r="E726" i="6"/>
  <c r="J724" i="6"/>
  <c r="K724" i="6" s="1"/>
  <c r="E724" i="6"/>
  <c r="J723" i="6"/>
  <c r="K723" i="6" s="1"/>
  <c r="C721" i="6"/>
  <c r="J717" i="6"/>
  <c r="K717" i="6" s="1"/>
  <c r="D717" i="6"/>
  <c r="F717" i="6" s="1"/>
  <c r="E716" i="6"/>
  <c r="E715" i="6"/>
  <c r="E714" i="6"/>
  <c r="E713" i="6"/>
  <c r="E712" i="6"/>
  <c r="E711" i="6"/>
  <c r="J710" i="6"/>
  <c r="K710" i="6" s="1"/>
  <c r="E710" i="6"/>
  <c r="C706" i="6"/>
  <c r="J705" i="6"/>
  <c r="K705" i="6" s="1"/>
  <c r="D705" i="6"/>
  <c r="F705" i="6" s="1"/>
  <c r="J696" i="6"/>
  <c r="K696" i="6" s="1"/>
  <c r="E696" i="6"/>
  <c r="C693" i="6"/>
  <c r="J692" i="6"/>
  <c r="K692" i="6" s="1"/>
  <c r="D692" i="6"/>
  <c r="F692" i="6" s="1"/>
  <c r="J688" i="6"/>
  <c r="K688" i="6" s="1"/>
  <c r="E688" i="6"/>
  <c r="J685" i="6"/>
  <c r="K685" i="6" s="1"/>
  <c r="J684" i="6"/>
  <c r="K684" i="6" s="1"/>
  <c r="E684" i="6"/>
  <c r="C682" i="6"/>
  <c r="J673" i="6"/>
  <c r="K673" i="6" s="1"/>
  <c r="K669" i="6" s="1"/>
  <c r="C669" i="6"/>
  <c r="J659" i="6"/>
  <c r="K659" i="6" s="1"/>
  <c r="K657" i="6" s="1"/>
  <c r="E659" i="6"/>
  <c r="E657" i="6" s="1"/>
  <c r="C657" i="6"/>
  <c r="J656" i="6"/>
  <c r="K656" i="6" s="1"/>
  <c r="F656" i="6"/>
  <c r="E656" i="6"/>
  <c r="J648" i="6"/>
  <c r="K648" i="6" s="1"/>
  <c r="E648" i="6"/>
  <c r="J647" i="6"/>
  <c r="K647" i="6" s="1"/>
  <c r="E647" i="6"/>
  <c r="C645" i="6"/>
  <c r="J629" i="6"/>
  <c r="K629" i="6" s="1"/>
  <c r="K625" i="6" s="1"/>
  <c r="C625" i="6"/>
  <c r="J620" i="6"/>
  <c r="K620" i="6" s="1"/>
  <c r="E620" i="6"/>
  <c r="J615" i="6"/>
  <c r="K615" i="6" s="1"/>
  <c r="E615" i="6"/>
  <c r="J614" i="6"/>
  <c r="K614" i="6" s="1"/>
  <c r="E614" i="6"/>
  <c r="C612" i="6"/>
  <c r="J607" i="6"/>
  <c r="K607" i="6" s="1"/>
  <c r="E605" i="6"/>
  <c r="M605" i="6" s="1"/>
  <c r="O605" i="6" s="1"/>
  <c r="J604" i="6"/>
  <c r="K604" i="6" s="1"/>
  <c r="J603" i="6"/>
  <c r="K603" i="6" s="1"/>
  <c r="E603" i="6"/>
  <c r="C601" i="6"/>
  <c r="J592" i="6"/>
  <c r="K592" i="6" s="1"/>
  <c r="K588" i="6" s="1"/>
  <c r="C588" i="6"/>
  <c r="J587" i="6"/>
  <c r="K587" i="6" s="1"/>
  <c r="E587" i="6"/>
  <c r="E586" i="6"/>
  <c r="E585" i="6"/>
  <c r="E584" i="6"/>
  <c r="J583" i="6"/>
  <c r="K583" i="6" s="1"/>
  <c r="E583" i="6"/>
  <c r="J581" i="6"/>
  <c r="K581" i="6" s="1"/>
  <c r="E581" i="6"/>
  <c r="J580" i="6"/>
  <c r="K580" i="6" s="1"/>
  <c r="J577" i="6"/>
  <c r="K577" i="6" s="1"/>
  <c r="E577" i="6"/>
  <c r="C575" i="6"/>
  <c r="J570" i="6"/>
  <c r="K570" i="6" s="1"/>
  <c r="J567" i="6"/>
  <c r="K567" i="6" s="1"/>
  <c r="E567" i="6"/>
  <c r="J566" i="6"/>
  <c r="K566" i="6" s="1"/>
  <c r="E537" i="6" l="1"/>
  <c r="C562" i="6"/>
  <c r="C274" i="6"/>
  <c r="C142" i="6"/>
  <c r="C49" i="6"/>
  <c r="K757" i="6"/>
  <c r="L724" i="6"/>
  <c r="L656" i="6"/>
  <c r="L532" i="6"/>
  <c r="L508" i="6"/>
  <c r="C880" i="6"/>
  <c r="C718" i="6"/>
  <c r="C681" i="6"/>
  <c r="C637" i="6"/>
  <c r="K601" i="6"/>
  <c r="K537" i="6"/>
  <c r="K525" i="6"/>
  <c r="C524" i="6"/>
  <c r="C487" i="6"/>
  <c r="L391" i="6"/>
  <c r="L394" i="6"/>
  <c r="L392" i="6"/>
  <c r="L395" i="6"/>
  <c r="L388" i="6"/>
  <c r="L387" i="6"/>
  <c r="L390" i="6"/>
  <c r="L384" i="6"/>
  <c r="L386" i="6"/>
  <c r="L396" i="6"/>
  <c r="L370" i="6"/>
  <c r="L329" i="6"/>
  <c r="L285" i="6"/>
  <c r="L249" i="6"/>
  <c r="L235" i="6"/>
  <c r="L166" i="6"/>
  <c r="K161" i="6"/>
  <c r="K169" i="6"/>
  <c r="K165" i="6"/>
  <c r="L153" i="6"/>
  <c r="L162" i="6"/>
  <c r="L170" i="6"/>
  <c r="L173" i="6"/>
  <c r="L148" i="6"/>
  <c r="L149" i="6"/>
  <c r="L152" i="6"/>
  <c r="L147" i="6"/>
  <c r="L151" i="6"/>
  <c r="L155" i="6"/>
  <c r="L54" i="6"/>
  <c r="L70" i="6"/>
  <c r="L69" i="6"/>
  <c r="M351" i="6"/>
  <c r="O351" i="6" s="1"/>
  <c r="M103" i="6"/>
  <c r="O103" i="6" s="1"/>
  <c r="C409" i="6"/>
  <c r="C365" i="6"/>
  <c r="C321" i="6"/>
  <c r="C230" i="6"/>
  <c r="C186" i="6"/>
  <c r="M99" i="6"/>
  <c r="O99" i="6" s="1"/>
  <c r="C94" i="6"/>
  <c r="C410" i="6" s="1"/>
  <c r="K50" i="6"/>
  <c r="K693" i="6"/>
  <c r="K564" i="6"/>
  <c r="K721" i="6"/>
  <c r="M163" i="6"/>
  <c r="O163" i="6" s="1"/>
  <c r="M171" i="6"/>
  <c r="O171" i="6" s="1"/>
  <c r="K575" i="6"/>
  <c r="K612" i="6"/>
  <c r="M773" i="6"/>
  <c r="O773" i="6" s="1"/>
  <c r="K187" i="6"/>
  <c r="K6" i="6"/>
  <c r="K706" i="6"/>
  <c r="K20" i="6"/>
  <c r="K82" i="6"/>
  <c r="G249" i="6"/>
  <c r="M249" i="6" s="1"/>
  <c r="O249" i="6" s="1"/>
  <c r="C600" i="6"/>
  <c r="C756" i="6"/>
  <c r="K731" i="6"/>
  <c r="C795" i="6"/>
  <c r="L761" i="6"/>
  <c r="L773" i="6"/>
  <c r="M800" i="6"/>
  <c r="O800" i="6" s="1"/>
  <c r="K845" i="6"/>
  <c r="L10" i="6"/>
  <c r="M24" i="6"/>
  <c r="O24" i="6" s="1"/>
  <c r="M101" i="6"/>
  <c r="O101" i="6" s="1"/>
  <c r="M105" i="6"/>
  <c r="O105" i="6" s="1"/>
  <c r="G147" i="6"/>
  <c r="M147" i="6" s="1"/>
  <c r="O147" i="6" s="1"/>
  <c r="K143" i="6"/>
  <c r="G161" i="6"/>
  <c r="M161" i="6" s="1"/>
  <c r="O161" i="6" s="1"/>
  <c r="G165" i="6"/>
  <c r="G169" i="6"/>
  <c r="G173" i="6"/>
  <c r="M173" i="6" s="1"/>
  <c r="O173" i="6" s="1"/>
  <c r="M191" i="6"/>
  <c r="O191" i="6" s="1"/>
  <c r="K201" i="6"/>
  <c r="K245" i="6"/>
  <c r="G329" i="6"/>
  <c r="M329" i="6" s="1"/>
  <c r="O329" i="6" s="1"/>
  <c r="K366" i="6"/>
  <c r="K380" i="6"/>
  <c r="K95" i="6"/>
  <c r="K112" i="6"/>
  <c r="M167" i="6"/>
  <c r="O167" i="6" s="1"/>
  <c r="K336" i="6"/>
  <c r="K354" i="6"/>
  <c r="M761" i="6"/>
  <c r="O761" i="6" s="1"/>
  <c r="K292" i="6"/>
  <c r="L581" i="6"/>
  <c r="K645" i="6"/>
  <c r="K681" i="6" s="1"/>
  <c r="K682" i="6"/>
  <c r="K718" i="6" s="1"/>
  <c r="K769" i="6"/>
  <c r="K795" i="6" s="1"/>
  <c r="C832" i="6"/>
  <c r="L800" i="6"/>
  <c r="K807" i="6"/>
  <c r="K855" i="6"/>
  <c r="G10" i="6"/>
  <c r="M10" i="6" s="1"/>
  <c r="O10" i="6" s="1"/>
  <c r="L24" i="6"/>
  <c r="L68" i="6"/>
  <c r="L150" i="6"/>
  <c r="L154" i="6"/>
  <c r="L163" i="6"/>
  <c r="L164" i="6"/>
  <c r="L167" i="6"/>
  <c r="L168" i="6"/>
  <c r="L171" i="6"/>
  <c r="L172" i="6"/>
  <c r="L191" i="6"/>
  <c r="K231" i="6"/>
  <c r="K278" i="6"/>
  <c r="L306" i="6"/>
  <c r="L385" i="6"/>
  <c r="L389" i="6"/>
  <c r="L393" i="6"/>
  <c r="G532" i="6"/>
  <c r="M532" i="6" s="1"/>
  <c r="O532" i="6" s="1"/>
  <c r="K451" i="6"/>
  <c r="K487" i="6" s="1"/>
  <c r="E525" i="6"/>
  <c r="E562" i="6" s="1"/>
  <c r="G528" i="6"/>
  <c r="M528" i="6" s="1"/>
  <c r="O528" i="6" s="1"/>
  <c r="G540" i="6"/>
  <c r="M540" i="6" s="1"/>
  <c r="O540" i="6" s="1"/>
  <c r="G531" i="6"/>
  <c r="G539" i="6"/>
  <c r="M539" i="6" s="1"/>
  <c r="G547" i="6"/>
  <c r="K488" i="6"/>
  <c r="K524" i="6" s="1"/>
  <c r="K499" i="6"/>
  <c r="E491" i="6"/>
  <c r="E494" i="6"/>
  <c r="E501" i="6"/>
  <c r="G502" i="6"/>
  <c r="M502" i="6" s="1"/>
  <c r="O502" i="6" s="1"/>
  <c r="E507" i="6"/>
  <c r="G508" i="6"/>
  <c r="M508" i="6" s="1"/>
  <c r="O508" i="6" s="1"/>
  <c r="E516" i="6"/>
  <c r="G491" i="6"/>
  <c r="G494" i="6"/>
  <c r="G501" i="6"/>
  <c r="G507" i="6"/>
  <c r="G516" i="6"/>
  <c r="G512" i="6" s="1"/>
  <c r="L454" i="6"/>
  <c r="E454" i="6"/>
  <c r="G465" i="6"/>
  <c r="G462" i="6" s="1"/>
  <c r="E479" i="6"/>
  <c r="G454" i="6"/>
  <c r="G479" i="6"/>
  <c r="G475" i="6" s="1"/>
  <c r="G370" i="6"/>
  <c r="M370" i="6" s="1"/>
  <c r="O370" i="6" s="1"/>
  <c r="G382" i="6"/>
  <c r="M382" i="6" s="1"/>
  <c r="E383" i="6"/>
  <c r="G384" i="6"/>
  <c r="M384" i="6" s="1"/>
  <c r="O384" i="6" s="1"/>
  <c r="G385" i="6"/>
  <c r="M385" i="6" s="1"/>
  <c r="O385" i="6" s="1"/>
  <c r="G386" i="6"/>
  <c r="M386" i="6" s="1"/>
  <c r="O386" i="6" s="1"/>
  <c r="G387" i="6"/>
  <c r="M387" i="6" s="1"/>
  <c r="O387" i="6" s="1"/>
  <c r="G388" i="6"/>
  <c r="M388" i="6" s="1"/>
  <c r="O388" i="6" s="1"/>
  <c r="G389" i="6"/>
  <c r="M389" i="6" s="1"/>
  <c r="O389" i="6" s="1"/>
  <c r="G390" i="6"/>
  <c r="M390" i="6" s="1"/>
  <c r="O390" i="6" s="1"/>
  <c r="G391" i="6"/>
  <c r="M391" i="6" s="1"/>
  <c r="O391" i="6" s="1"/>
  <c r="G392" i="6"/>
  <c r="M392" i="6" s="1"/>
  <c r="O392" i="6" s="1"/>
  <c r="G393" i="6"/>
  <c r="M393" i="6" s="1"/>
  <c r="O393" i="6" s="1"/>
  <c r="G394" i="6"/>
  <c r="M394" i="6" s="1"/>
  <c r="O394" i="6" s="1"/>
  <c r="G395" i="6"/>
  <c r="M395" i="6" s="1"/>
  <c r="O395" i="6" s="1"/>
  <c r="G396" i="6"/>
  <c r="M396" i="6" s="1"/>
  <c r="O396" i="6" s="1"/>
  <c r="E406" i="6"/>
  <c r="G369" i="6"/>
  <c r="G383" i="6"/>
  <c r="G406" i="6"/>
  <c r="G398" i="6" s="1"/>
  <c r="E322" i="6"/>
  <c r="E336" i="6"/>
  <c r="E354" i="6"/>
  <c r="K322" i="6"/>
  <c r="M350" i="6"/>
  <c r="O350" i="6" s="1"/>
  <c r="M352" i="6"/>
  <c r="O352" i="6" s="1"/>
  <c r="M363" i="6"/>
  <c r="O363" i="6" s="1"/>
  <c r="G349" i="6"/>
  <c r="M349" i="6" s="1"/>
  <c r="O349" i="6" s="1"/>
  <c r="L350" i="6"/>
  <c r="L351" i="6"/>
  <c r="L352" i="6"/>
  <c r="G362" i="6"/>
  <c r="M362" i="6" s="1"/>
  <c r="L363" i="6"/>
  <c r="G328" i="6"/>
  <c r="M328" i="6" s="1"/>
  <c r="O328" i="6" s="1"/>
  <c r="G348" i="6"/>
  <c r="G353" i="6"/>
  <c r="M353" i="6" s="1"/>
  <c r="O353" i="6" s="1"/>
  <c r="G364" i="6"/>
  <c r="M364" i="6" s="1"/>
  <c r="O364" i="6" s="1"/>
  <c r="E284" i="6"/>
  <c r="G285" i="6"/>
  <c r="M285" i="6" s="1"/>
  <c r="O285" i="6" s="1"/>
  <c r="G304" i="6"/>
  <c r="M304" i="6" s="1"/>
  <c r="E305" i="6"/>
  <c r="G306" i="6"/>
  <c r="M306" i="6" s="1"/>
  <c r="O306" i="6" s="1"/>
  <c r="E318" i="6"/>
  <c r="G284" i="6"/>
  <c r="G305" i="6"/>
  <c r="G318" i="6"/>
  <c r="G310" i="6" s="1"/>
  <c r="G235" i="6"/>
  <c r="M235" i="6" s="1"/>
  <c r="O235" i="6" s="1"/>
  <c r="E247" i="6"/>
  <c r="G248" i="6"/>
  <c r="M248" i="6" s="1"/>
  <c r="O248" i="6" s="1"/>
  <c r="E265" i="6"/>
  <c r="E263" i="6" s="1"/>
  <c r="G234" i="6"/>
  <c r="G247" i="6"/>
  <c r="G265" i="6"/>
  <c r="G263" i="6" s="1"/>
  <c r="E187" i="6"/>
  <c r="E201" i="6"/>
  <c r="M205" i="6"/>
  <c r="O205" i="6" s="1"/>
  <c r="G204" i="6"/>
  <c r="M204" i="6" s="1"/>
  <c r="O204" i="6" s="1"/>
  <c r="L205" i="6"/>
  <c r="E227" i="6"/>
  <c r="G190" i="6"/>
  <c r="M190" i="6" s="1"/>
  <c r="O190" i="6" s="1"/>
  <c r="G203" i="6"/>
  <c r="G201" i="6" s="1"/>
  <c r="G227" i="6"/>
  <c r="G219" i="6" s="1"/>
  <c r="E156" i="6"/>
  <c r="G160" i="6"/>
  <c r="G162" i="6"/>
  <c r="M162" i="6" s="1"/>
  <c r="O162" i="6" s="1"/>
  <c r="G164" i="6"/>
  <c r="M164" i="6" s="1"/>
  <c r="O164" i="6" s="1"/>
  <c r="G166" i="6"/>
  <c r="M166" i="6" s="1"/>
  <c r="O166" i="6" s="1"/>
  <c r="G168" i="6"/>
  <c r="M168" i="6" s="1"/>
  <c r="O168" i="6" s="1"/>
  <c r="G170" i="6"/>
  <c r="M170" i="6" s="1"/>
  <c r="O170" i="6" s="1"/>
  <c r="G172" i="6"/>
  <c r="M172" i="6" s="1"/>
  <c r="O172" i="6" s="1"/>
  <c r="E174" i="6"/>
  <c r="G156" i="6"/>
  <c r="G174" i="6"/>
  <c r="E95" i="6"/>
  <c r="E112" i="6"/>
  <c r="E131" i="6"/>
  <c r="M98" i="6"/>
  <c r="O98" i="6" s="1"/>
  <c r="M100" i="6"/>
  <c r="O100" i="6" s="1"/>
  <c r="M102" i="6"/>
  <c r="O102" i="6" s="1"/>
  <c r="M104" i="6"/>
  <c r="O104" i="6" s="1"/>
  <c r="M106" i="6"/>
  <c r="O106" i="6" s="1"/>
  <c r="M115" i="6"/>
  <c r="O115" i="6" s="1"/>
  <c r="L98" i="6"/>
  <c r="L99" i="6"/>
  <c r="L100" i="6"/>
  <c r="L101" i="6"/>
  <c r="L102" i="6"/>
  <c r="L103" i="6"/>
  <c r="L104" i="6"/>
  <c r="L105" i="6"/>
  <c r="L106" i="6"/>
  <c r="G109" i="6"/>
  <c r="M109" i="6" s="1"/>
  <c r="O109" i="6" s="1"/>
  <c r="G114" i="6"/>
  <c r="M114" i="6" s="1"/>
  <c r="L115" i="6"/>
  <c r="G121" i="6"/>
  <c r="M121" i="6" s="1"/>
  <c r="O121" i="6" s="1"/>
  <c r="G133" i="6"/>
  <c r="G131" i="6" s="1"/>
  <c r="G107" i="6"/>
  <c r="M107" i="6" s="1"/>
  <c r="O107" i="6" s="1"/>
  <c r="G116" i="6"/>
  <c r="M116" i="6" s="1"/>
  <c r="O116" i="6" s="1"/>
  <c r="K64" i="6"/>
  <c r="E50" i="6"/>
  <c r="G54" i="6"/>
  <c r="M54" i="6" s="1"/>
  <c r="O54" i="6" s="1"/>
  <c r="G66" i="6"/>
  <c r="M66" i="6" s="1"/>
  <c r="E67" i="6"/>
  <c r="G68" i="6"/>
  <c r="M68" i="6" s="1"/>
  <c r="O68" i="6" s="1"/>
  <c r="G69" i="6"/>
  <c r="M69" i="6" s="1"/>
  <c r="O69" i="6" s="1"/>
  <c r="G70" i="6"/>
  <c r="M70" i="6" s="1"/>
  <c r="O70" i="6" s="1"/>
  <c r="E84" i="6"/>
  <c r="G85" i="6"/>
  <c r="M85" i="6" s="1"/>
  <c r="O85" i="6" s="1"/>
  <c r="G53" i="6"/>
  <c r="G67" i="6"/>
  <c r="G84" i="6"/>
  <c r="E8" i="6"/>
  <c r="G9" i="6"/>
  <c r="M9" i="6" s="1"/>
  <c r="O9" i="6" s="1"/>
  <c r="E22" i="6"/>
  <c r="G23" i="6"/>
  <c r="M23" i="6" s="1"/>
  <c r="O23" i="6" s="1"/>
  <c r="E38" i="6"/>
  <c r="G40" i="6"/>
  <c r="G38" i="6" s="1"/>
  <c r="G22" i="6"/>
  <c r="L847" i="6"/>
  <c r="E847" i="6"/>
  <c r="G850" i="6"/>
  <c r="M850" i="6" s="1"/>
  <c r="O850" i="6" s="1"/>
  <c r="E857" i="6"/>
  <c r="G862" i="6"/>
  <c r="M862" i="6" s="1"/>
  <c r="O862" i="6" s="1"/>
  <c r="E863" i="6"/>
  <c r="G857" i="6"/>
  <c r="F863" i="6"/>
  <c r="G863" i="6" s="1"/>
  <c r="K796" i="6"/>
  <c r="E798" i="6"/>
  <c r="G799" i="6"/>
  <c r="M799" i="6" s="1"/>
  <c r="O799" i="6" s="1"/>
  <c r="E802" i="6"/>
  <c r="G806" i="6"/>
  <c r="M806" i="6" s="1"/>
  <c r="O806" i="6" s="1"/>
  <c r="E809" i="6"/>
  <c r="G810" i="6"/>
  <c r="M810" i="6" s="1"/>
  <c r="O810" i="6" s="1"/>
  <c r="E819" i="6"/>
  <c r="G802" i="6"/>
  <c r="G809" i="6"/>
  <c r="G819" i="6"/>
  <c r="E769" i="6"/>
  <c r="E757" i="6"/>
  <c r="M759" i="6"/>
  <c r="G764" i="6"/>
  <c r="M764" i="6" s="1"/>
  <c r="O764" i="6" s="1"/>
  <c r="L764" i="6"/>
  <c r="F780" i="6"/>
  <c r="G780" i="6" s="1"/>
  <c r="M780" i="6" s="1"/>
  <c r="O780" i="6" s="1"/>
  <c r="G760" i="6"/>
  <c r="M760" i="6" s="1"/>
  <c r="O760" i="6" s="1"/>
  <c r="G772" i="6"/>
  <c r="G787" i="6"/>
  <c r="G783" i="6" s="1"/>
  <c r="E723" i="6"/>
  <c r="G724" i="6"/>
  <c r="M724" i="6" s="1"/>
  <c r="O724" i="6" s="1"/>
  <c r="G726" i="6"/>
  <c r="M726" i="6" s="1"/>
  <c r="O726" i="6" s="1"/>
  <c r="E733" i="6"/>
  <c r="G740" i="6"/>
  <c r="M740" i="6" s="1"/>
  <c r="O740" i="6" s="1"/>
  <c r="E747" i="6"/>
  <c r="G733" i="6"/>
  <c r="G747" i="6"/>
  <c r="G743" i="6" s="1"/>
  <c r="L692" i="6"/>
  <c r="E685" i="6"/>
  <c r="G688" i="6"/>
  <c r="M688" i="6" s="1"/>
  <c r="O688" i="6" s="1"/>
  <c r="E692" i="6"/>
  <c r="G696" i="6"/>
  <c r="E705" i="6"/>
  <c r="G710" i="6"/>
  <c r="E717" i="6"/>
  <c r="G685" i="6"/>
  <c r="G692" i="6"/>
  <c r="G705" i="6"/>
  <c r="G717" i="6"/>
  <c r="E645" i="6"/>
  <c r="G648" i="6"/>
  <c r="M648" i="6" s="1"/>
  <c r="O648" i="6" s="1"/>
  <c r="G656" i="6"/>
  <c r="M656" i="6" s="1"/>
  <c r="O656" i="6" s="1"/>
  <c r="G659" i="6"/>
  <c r="G657" i="6" s="1"/>
  <c r="E673" i="6"/>
  <c r="G673" i="6"/>
  <c r="G669" i="6" s="1"/>
  <c r="E612" i="6"/>
  <c r="E607" i="6"/>
  <c r="G615" i="6"/>
  <c r="M615" i="6" s="1"/>
  <c r="O615" i="6" s="1"/>
  <c r="E629" i="6"/>
  <c r="G604" i="6"/>
  <c r="G607" i="6"/>
  <c r="G614" i="6"/>
  <c r="M614" i="6" s="1"/>
  <c r="G620" i="6"/>
  <c r="M620" i="6" s="1"/>
  <c r="O620" i="6" s="1"/>
  <c r="G629" i="6"/>
  <c r="G625" i="6" s="1"/>
  <c r="L566" i="6"/>
  <c r="E566" i="6"/>
  <c r="G567" i="6"/>
  <c r="E570" i="6"/>
  <c r="G577" i="6"/>
  <c r="M577" i="6" s="1"/>
  <c r="E580" i="6"/>
  <c r="G581" i="6"/>
  <c r="M581" i="6" s="1"/>
  <c r="O581" i="6" s="1"/>
  <c r="G583" i="6"/>
  <c r="M583" i="6" s="1"/>
  <c r="O583" i="6" s="1"/>
  <c r="G587" i="6"/>
  <c r="M587" i="6" s="1"/>
  <c r="O587" i="6" s="1"/>
  <c r="E592" i="6"/>
  <c r="G570" i="6"/>
  <c r="G580" i="6"/>
  <c r="G592" i="6"/>
  <c r="G588" i="6" s="1"/>
  <c r="S312" i="7"/>
  <c r="S1200" i="7"/>
  <c r="N40" i="12"/>
  <c r="C39" i="12"/>
  <c r="L37" i="12"/>
  <c r="L38" i="12"/>
  <c r="L36" i="12"/>
  <c r="K37" i="12"/>
  <c r="I37" i="12"/>
  <c r="I38" i="12"/>
  <c r="I36" i="12"/>
  <c r="E37" i="12"/>
  <c r="E38" i="12"/>
  <c r="E36" i="12"/>
  <c r="C34" i="12"/>
  <c r="L33" i="12"/>
  <c r="L32" i="12"/>
  <c r="I33" i="12"/>
  <c r="I32" i="12"/>
  <c r="E33" i="12"/>
  <c r="E32" i="12"/>
  <c r="L30" i="12"/>
  <c r="I30" i="12"/>
  <c r="E30" i="12"/>
  <c r="K16" i="12"/>
  <c r="K17" i="12"/>
  <c r="K18" i="12"/>
  <c r="K19" i="12"/>
  <c r="K20" i="12"/>
  <c r="K21" i="12"/>
  <c r="K22" i="12"/>
  <c r="K23" i="12"/>
  <c r="K24" i="12"/>
  <c r="K25" i="12"/>
  <c r="K26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L15" i="12"/>
  <c r="I15" i="12"/>
  <c r="E15" i="12"/>
  <c r="L13" i="12"/>
  <c r="I13" i="12"/>
  <c r="E13" i="12"/>
  <c r="I11" i="12"/>
  <c r="E11" i="12"/>
  <c r="L11" i="12"/>
  <c r="E564" i="6" l="1"/>
  <c r="G769" i="6"/>
  <c r="K637" i="6"/>
  <c r="K157" i="6"/>
  <c r="K562" i="6"/>
  <c r="L787" i="6"/>
  <c r="L740" i="6"/>
  <c r="L648" i="6"/>
  <c r="L587" i="6"/>
  <c r="G855" i="6"/>
  <c r="K880" i="6"/>
  <c r="K832" i="6"/>
  <c r="E795" i="6"/>
  <c r="G731" i="6"/>
  <c r="C881" i="6"/>
  <c r="C882" i="6" s="1"/>
  <c r="L659" i="6"/>
  <c r="M659" i="6"/>
  <c r="M657" i="6" s="1"/>
  <c r="K600" i="6"/>
  <c r="I39" i="12"/>
  <c r="E39" i="12"/>
  <c r="M37" i="12"/>
  <c r="C40" i="12"/>
  <c r="S1201" i="7"/>
  <c r="G499" i="6"/>
  <c r="K274" i="6"/>
  <c r="M169" i="6"/>
  <c r="O169" i="6" s="1"/>
  <c r="M165" i="6"/>
  <c r="O165" i="6" s="1"/>
  <c r="K409" i="6"/>
  <c r="K365" i="6"/>
  <c r="K321" i="6"/>
  <c r="L109" i="6"/>
  <c r="K94" i="6"/>
  <c r="K49" i="6"/>
  <c r="G20" i="6"/>
  <c r="M23" i="12"/>
  <c r="M19" i="12"/>
  <c r="M24" i="12"/>
  <c r="M20" i="12"/>
  <c r="M16" i="12"/>
  <c r="L614" i="6"/>
  <c r="L577" i="6"/>
  <c r="L567" i="6"/>
  <c r="L629" i="6"/>
  <c r="G706" i="6"/>
  <c r="L723" i="6"/>
  <c r="L760" i="6"/>
  <c r="L809" i="6"/>
  <c r="L862" i="6"/>
  <c r="L85" i="6"/>
  <c r="L189" i="6"/>
  <c r="L348" i="6"/>
  <c r="G564" i="6"/>
  <c r="L647" i="6"/>
  <c r="M38" i="12"/>
  <c r="M36" i="12"/>
  <c r="M604" i="6"/>
  <c r="O604" i="6" s="1"/>
  <c r="L780" i="6"/>
  <c r="L759" i="6"/>
  <c r="L806" i="6"/>
  <c r="L799" i="6"/>
  <c r="M863" i="6"/>
  <c r="O863" i="6" s="1"/>
  <c r="G82" i="6"/>
  <c r="M67" i="6"/>
  <c r="O67" i="6" s="1"/>
  <c r="L114" i="6"/>
  <c r="L116" i="6"/>
  <c r="L528" i="6"/>
  <c r="K142" i="6"/>
  <c r="K186" i="6"/>
  <c r="K756" i="6"/>
  <c r="M570" i="6"/>
  <c r="O570" i="6" s="1"/>
  <c r="L67" i="6"/>
  <c r="L362" i="6"/>
  <c r="L465" i="6"/>
  <c r="M494" i="6"/>
  <c r="O494" i="6" s="1"/>
  <c r="L494" i="6"/>
  <c r="K230" i="6"/>
  <c r="G525" i="6"/>
  <c r="G562" i="6" s="1"/>
  <c r="M527" i="6"/>
  <c r="L540" i="6"/>
  <c r="M547" i="6"/>
  <c r="M537" i="6" s="1"/>
  <c r="M531" i="6"/>
  <c r="O531" i="6" s="1"/>
  <c r="L547" i="6"/>
  <c r="L539" i="6"/>
  <c r="L531" i="6"/>
  <c r="L527" i="6"/>
  <c r="O539" i="6"/>
  <c r="G537" i="6"/>
  <c r="E512" i="6"/>
  <c r="M516" i="6"/>
  <c r="E499" i="6"/>
  <c r="M501" i="6"/>
  <c r="G488" i="6"/>
  <c r="G524" i="6" s="1"/>
  <c r="L491" i="6"/>
  <c r="M507" i="6"/>
  <c r="O507" i="6" s="1"/>
  <c r="M491" i="6"/>
  <c r="O491" i="6" s="1"/>
  <c r="E488" i="6"/>
  <c r="L516" i="6"/>
  <c r="L507" i="6"/>
  <c r="L501" i="6"/>
  <c r="L490" i="6"/>
  <c r="M490" i="6"/>
  <c r="L502" i="6"/>
  <c r="L479" i="6"/>
  <c r="G451" i="6"/>
  <c r="G487" i="6" s="1"/>
  <c r="M453" i="6"/>
  <c r="M465" i="6"/>
  <c r="L453" i="6"/>
  <c r="M479" i="6"/>
  <c r="E475" i="6"/>
  <c r="E451" i="6"/>
  <c r="M454" i="6"/>
  <c r="O454" i="6" s="1"/>
  <c r="M406" i="6"/>
  <c r="E398" i="6"/>
  <c r="E380" i="6"/>
  <c r="M383" i="6"/>
  <c r="O383" i="6" s="1"/>
  <c r="O382" i="6"/>
  <c r="E366" i="6"/>
  <c r="M369" i="6"/>
  <c r="O369" i="6" s="1"/>
  <c r="G366" i="6"/>
  <c r="L383" i="6"/>
  <c r="L368" i="6"/>
  <c r="G380" i="6"/>
  <c r="L382" i="6"/>
  <c r="L369" i="6"/>
  <c r="L406" i="6"/>
  <c r="M368" i="6"/>
  <c r="O362" i="6"/>
  <c r="O354" i="6" s="1"/>
  <c r="M354" i="6"/>
  <c r="G322" i="6"/>
  <c r="L353" i="6"/>
  <c r="L328" i="6"/>
  <c r="M327" i="6"/>
  <c r="G336" i="6"/>
  <c r="G354" i="6"/>
  <c r="L349" i="6"/>
  <c r="L327" i="6"/>
  <c r="L364" i="6"/>
  <c r="M348" i="6"/>
  <c r="E365" i="6"/>
  <c r="M318" i="6"/>
  <c r="E310" i="6"/>
  <c r="E292" i="6"/>
  <c r="M305" i="6"/>
  <c r="O305" i="6" s="1"/>
  <c r="O304" i="6"/>
  <c r="E278" i="6"/>
  <c r="M284" i="6"/>
  <c r="O284" i="6" s="1"/>
  <c r="G278" i="6"/>
  <c r="L305" i="6"/>
  <c r="L283" i="6"/>
  <c r="G292" i="6"/>
  <c r="L304" i="6"/>
  <c r="L284" i="6"/>
  <c r="L318" i="6"/>
  <c r="M283" i="6"/>
  <c r="M265" i="6"/>
  <c r="M247" i="6"/>
  <c r="E245" i="6"/>
  <c r="E231" i="6"/>
  <c r="M234" i="6"/>
  <c r="O234" i="6" s="1"/>
  <c r="G231" i="6"/>
  <c r="L233" i="6"/>
  <c r="L248" i="6"/>
  <c r="M233" i="6"/>
  <c r="G245" i="6"/>
  <c r="L234" i="6"/>
  <c r="L265" i="6"/>
  <c r="L247" i="6"/>
  <c r="G187" i="6"/>
  <c r="G230" i="6" s="1"/>
  <c r="L190" i="6"/>
  <c r="M189" i="6"/>
  <c r="M227" i="6"/>
  <c r="E219" i="6"/>
  <c r="E230" i="6" s="1"/>
  <c r="L204" i="6"/>
  <c r="L227" i="6"/>
  <c r="L203" i="6"/>
  <c r="M203" i="6"/>
  <c r="G157" i="6"/>
  <c r="G143" i="6"/>
  <c r="L146" i="6"/>
  <c r="M160" i="6"/>
  <c r="M146" i="6"/>
  <c r="E157" i="6"/>
  <c r="M174" i="6"/>
  <c r="O174" i="6" s="1"/>
  <c r="E143" i="6"/>
  <c r="E186" i="6" s="1"/>
  <c r="M156" i="6"/>
  <c r="O156" i="6" s="1"/>
  <c r="L160" i="6"/>
  <c r="L174" i="6"/>
  <c r="L156" i="6"/>
  <c r="O114" i="6"/>
  <c r="O112" i="6" s="1"/>
  <c r="M112" i="6"/>
  <c r="G95" i="6"/>
  <c r="L107" i="6"/>
  <c r="M133" i="6"/>
  <c r="M97" i="6"/>
  <c r="L133" i="6"/>
  <c r="L131" i="6" s="1"/>
  <c r="L121" i="6"/>
  <c r="G112" i="6"/>
  <c r="L97" i="6"/>
  <c r="E142" i="6"/>
  <c r="E82" i="6"/>
  <c r="M84" i="6"/>
  <c r="O66" i="6"/>
  <c r="E64" i="6"/>
  <c r="L53" i="6"/>
  <c r="G64" i="6"/>
  <c r="G50" i="6"/>
  <c r="L52" i="6"/>
  <c r="L50" i="6" s="1"/>
  <c r="L84" i="6"/>
  <c r="L66" i="6"/>
  <c r="M52" i="6"/>
  <c r="M53" i="6"/>
  <c r="O53" i="6" s="1"/>
  <c r="E20" i="6"/>
  <c r="M22" i="6"/>
  <c r="E6" i="6"/>
  <c r="M8" i="6"/>
  <c r="M40" i="6"/>
  <c r="L9" i="6"/>
  <c r="L40" i="6"/>
  <c r="L38" i="6" s="1"/>
  <c r="L22" i="6"/>
  <c r="G6" i="6"/>
  <c r="L8" i="6"/>
  <c r="L23" i="6"/>
  <c r="M857" i="6"/>
  <c r="E855" i="6"/>
  <c r="M847" i="6"/>
  <c r="E845" i="6"/>
  <c r="G845" i="6"/>
  <c r="G880" i="6" s="1"/>
  <c r="L850" i="6"/>
  <c r="L863" i="6"/>
  <c r="L857" i="6"/>
  <c r="L819" i="6"/>
  <c r="G807" i="6"/>
  <c r="G796" i="6"/>
  <c r="L802" i="6"/>
  <c r="L810" i="6"/>
  <c r="L798" i="6"/>
  <c r="M809" i="6"/>
  <c r="E807" i="6"/>
  <c r="M798" i="6"/>
  <c r="E796" i="6"/>
  <c r="M819" i="6"/>
  <c r="O819" i="6" s="1"/>
  <c r="M802" i="6"/>
  <c r="O802" i="6" s="1"/>
  <c r="O759" i="6"/>
  <c r="O757" i="6" s="1"/>
  <c r="M757" i="6"/>
  <c r="M772" i="6"/>
  <c r="G757" i="6"/>
  <c r="G795" i="6" s="1"/>
  <c r="L772" i="6"/>
  <c r="M787" i="6"/>
  <c r="M723" i="6"/>
  <c r="E721" i="6"/>
  <c r="G721" i="6"/>
  <c r="L733" i="6"/>
  <c r="L747" i="6"/>
  <c r="L726" i="6"/>
  <c r="M747" i="6"/>
  <c r="E743" i="6"/>
  <c r="M733" i="6"/>
  <c r="E731" i="6"/>
  <c r="E706" i="6"/>
  <c r="M717" i="6"/>
  <c r="O717" i="6" s="1"/>
  <c r="E693" i="6"/>
  <c r="M705" i="6"/>
  <c r="O705" i="6" s="1"/>
  <c r="E682" i="6"/>
  <c r="M685" i="6"/>
  <c r="O685" i="6" s="1"/>
  <c r="G693" i="6"/>
  <c r="G682" i="6"/>
  <c r="L710" i="6"/>
  <c r="L685" i="6"/>
  <c r="M710" i="6"/>
  <c r="L696" i="6"/>
  <c r="M692" i="6"/>
  <c r="O692" i="6" s="1"/>
  <c r="L717" i="6"/>
  <c r="M696" i="6"/>
  <c r="L688" i="6"/>
  <c r="L684" i="6"/>
  <c r="L705" i="6"/>
  <c r="M684" i="6"/>
  <c r="M673" i="6"/>
  <c r="E669" i="6"/>
  <c r="E681" i="6" s="1"/>
  <c r="G645" i="6"/>
  <c r="G681" i="6" s="1"/>
  <c r="L673" i="6"/>
  <c r="M647" i="6"/>
  <c r="E625" i="6"/>
  <c r="M629" i="6"/>
  <c r="O614" i="6"/>
  <c r="M612" i="6"/>
  <c r="G601" i="6"/>
  <c r="E601" i="6"/>
  <c r="G612" i="6"/>
  <c r="L615" i="6"/>
  <c r="M607" i="6"/>
  <c r="O607" i="6" s="1"/>
  <c r="L603" i="6"/>
  <c r="L620" i="6"/>
  <c r="L604" i="6"/>
  <c r="L607" i="6"/>
  <c r="M603" i="6"/>
  <c r="M592" i="6"/>
  <c r="M588" i="6" s="1"/>
  <c r="E588" i="6"/>
  <c r="E575" i="6"/>
  <c r="M580" i="6"/>
  <c r="O580" i="6" s="1"/>
  <c r="M566" i="6"/>
  <c r="O577" i="6"/>
  <c r="G575" i="6"/>
  <c r="L580" i="6"/>
  <c r="M567" i="6"/>
  <c r="O567" i="6" s="1"/>
  <c r="L592" i="6"/>
  <c r="L583" i="6"/>
  <c r="L570" i="6"/>
  <c r="K39" i="12"/>
  <c r="M27" i="12"/>
  <c r="E34" i="12"/>
  <c r="I34" i="12"/>
  <c r="M33" i="12"/>
  <c r="M25" i="12"/>
  <c r="M21" i="12"/>
  <c r="M17" i="12"/>
  <c r="M26" i="12"/>
  <c r="M22" i="12"/>
  <c r="M18" i="12"/>
  <c r="K34" i="12"/>
  <c r="M32" i="12"/>
  <c r="M30" i="12"/>
  <c r="O30" i="12" s="1"/>
  <c r="M15" i="12"/>
  <c r="M13" i="12"/>
  <c r="O13" i="12" s="1"/>
  <c r="M11" i="12"/>
  <c r="O11" i="12" s="1"/>
  <c r="E274" i="6" l="1"/>
  <c r="O659" i="6"/>
  <c r="O657" i="6" s="1"/>
  <c r="E637" i="6"/>
  <c r="M575" i="6"/>
  <c r="M564" i="6"/>
  <c r="L20" i="6"/>
  <c r="K881" i="6"/>
  <c r="G600" i="6"/>
  <c r="G756" i="6"/>
  <c r="E880" i="6"/>
  <c r="E718" i="6"/>
  <c r="I40" i="12"/>
  <c r="E40" i="12"/>
  <c r="M39" i="12"/>
  <c r="O39" i="12" s="1"/>
  <c r="M525" i="6"/>
  <c r="E524" i="6"/>
  <c r="E487" i="6"/>
  <c r="L82" i="6"/>
  <c r="G186" i="6"/>
  <c r="K410" i="6"/>
  <c r="L112" i="6"/>
  <c r="E94" i="6"/>
  <c r="M64" i="6"/>
  <c r="L64" i="6"/>
  <c r="O64" i="6"/>
  <c r="L6" i="6"/>
  <c r="L49" i="6" s="1"/>
  <c r="G49" i="6"/>
  <c r="E49" i="6"/>
  <c r="K40" i="12"/>
  <c r="O575" i="6"/>
  <c r="G718" i="6"/>
  <c r="L95" i="6"/>
  <c r="M292" i="6"/>
  <c r="E832" i="6"/>
  <c r="M380" i="6"/>
  <c r="O527" i="6"/>
  <c r="O547" i="6"/>
  <c r="M488" i="6"/>
  <c r="O490" i="6"/>
  <c r="O501" i="6"/>
  <c r="M499" i="6"/>
  <c r="O516" i="6"/>
  <c r="M512" i="6"/>
  <c r="O479" i="6"/>
  <c r="O475" i="6" s="1"/>
  <c r="M475" i="6"/>
  <c r="O465" i="6"/>
  <c r="O462" i="6" s="1"/>
  <c r="M462" i="6"/>
  <c r="O453" i="6"/>
  <c r="O451" i="6" s="1"/>
  <c r="M451" i="6"/>
  <c r="O368" i="6"/>
  <c r="O366" i="6" s="1"/>
  <c r="M366" i="6"/>
  <c r="O406" i="6"/>
  <c r="O398" i="6" s="1"/>
  <c r="M398" i="6"/>
  <c r="G409" i="6"/>
  <c r="E409" i="6"/>
  <c r="O380" i="6"/>
  <c r="O348" i="6"/>
  <c r="O336" i="6" s="1"/>
  <c r="M336" i="6"/>
  <c r="O327" i="6"/>
  <c r="O322" i="6" s="1"/>
  <c r="M322" i="6"/>
  <c r="G365" i="6"/>
  <c r="O318" i="6"/>
  <c r="O310" i="6" s="1"/>
  <c r="M310" i="6"/>
  <c r="G321" i="6"/>
  <c r="E321" i="6"/>
  <c r="O292" i="6"/>
  <c r="O283" i="6"/>
  <c r="O278" i="6" s="1"/>
  <c r="M278" i="6"/>
  <c r="O247" i="6"/>
  <c r="O245" i="6" s="1"/>
  <c r="M245" i="6"/>
  <c r="O265" i="6"/>
  <c r="O263" i="6" s="1"/>
  <c r="M263" i="6"/>
  <c r="G274" i="6"/>
  <c r="O233" i="6"/>
  <c r="O231" i="6" s="1"/>
  <c r="M231" i="6"/>
  <c r="O203" i="6"/>
  <c r="O201" i="6" s="1"/>
  <c r="M201" i="6"/>
  <c r="O189" i="6"/>
  <c r="O187" i="6" s="1"/>
  <c r="M187" i="6"/>
  <c r="M230" i="6" s="1"/>
  <c r="O227" i="6"/>
  <c r="O219" i="6" s="1"/>
  <c r="M219" i="6"/>
  <c r="O160" i="6"/>
  <c r="M157" i="6"/>
  <c r="O157" i="6" s="1"/>
  <c r="O146" i="6"/>
  <c r="M143" i="6"/>
  <c r="O97" i="6"/>
  <c r="O95" i="6" s="1"/>
  <c r="M95" i="6"/>
  <c r="O133" i="6"/>
  <c r="O131" i="6" s="1"/>
  <c r="M131" i="6"/>
  <c r="G142" i="6"/>
  <c r="O52" i="6"/>
  <c r="O50" i="6" s="1"/>
  <c r="M50" i="6"/>
  <c r="O84" i="6"/>
  <c r="O82" i="6" s="1"/>
  <c r="M82" i="6"/>
  <c r="G94" i="6"/>
  <c r="O8" i="6"/>
  <c r="O6" i="6" s="1"/>
  <c r="M6" i="6"/>
  <c r="O22" i="6"/>
  <c r="O20" i="6" s="1"/>
  <c r="M20" i="6"/>
  <c r="O40" i="6"/>
  <c r="O38" i="6" s="1"/>
  <c r="M38" i="6"/>
  <c r="O847" i="6"/>
  <c r="O845" i="6" s="1"/>
  <c r="M845" i="6"/>
  <c r="O857" i="6"/>
  <c r="O855" i="6" s="1"/>
  <c r="M855" i="6"/>
  <c r="O798" i="6"/>
  <c r="O796" i="6" s="1"/>
  <c r="M796" i="6"/>
  <c r="O809" i="6"/>
  <c r="O807" i="6" s="1"/>
  <c r="M807" i="6"/>
  <c r="G832" i="6"/>
  <c r="O772" i="6"/>
  <c r="O769" i="6" s="1"/>
  <c r="M769" i="6"/>
  <c r="O787" i="6"/>
  <c r="O783" i="6" s="1"/>
  <c r="M783" i="6"/>
  <c r="O733" i="6"/>
  <c r="O731" i="6" s="1"/>
  <c r="M731" i="6"/>
  <c r="O747" i="6"/>
  <c r="O743" i="6" s="1"/>
  <c r="M743" i="6"/>
  <c r="O723" i="6"/>
  <c r="O721" i="6" s="1"/>
  <c r="M721" i="6"/>
  <c r="E756" i="6"/>
  <c r="O684" i="6"/>
  <c r="O682" i="6" s="1"/>
  <c r="M682" i="6"/>
  <c r="O696" i="6"/>
  <c r="O693" i="6" s="1"/>
  <c r="M693" i="6"/>
  <c r="O710" i="6"/>
  <c r="O706" i="6" s="1"/>
  <c r="M706" i="6"/>
  <c r="O647" i="6"/>
  <c r="O645" i="6" s="1"/>
  <c r="M645" i="6"/>
  <c r="O673" i="6"/>
  <c r="O669" i="6" s="1"/>
  <c r="M669" i="6"/>
  <c r="G637" i="6"/>
  <c r="M601" i="6"/>
  <c r="O603" i="6"/>
  <c r="O629" i="6"/>
  <c r="M625" i="6"/>
  <c r="E600" i="6"/>
  <c r="O566" i="6"/>
  <c r="O564" i="6" s="1"/>
  <c r="O592" i="6"/>
  <c r="O588" i="6" s="1"/>
  <c r="M34" i="12"/>
  <c r="N1197" i="7"/>
  <c r="G1195" i="7"/>
  <c r="J1195" i="7"/>
  <c r="K1195" i="7" s="1"/>
  <c r="G1196" i="7"/>
  <c r="J1196" i="7"/>
  <c r="J1194" i="7"/>
  <c r="K1194" i="7" s="1"/>
  <c r="G1194" i="7"/>
  <c r="G1198" i="7" s="1"/>
  <c r="J1192" i="7"/>
  <c r="K1192" i="7" s="1"/>
  <c r="E1195" i="7"/>
  <c r="E1196" i="7"/>
  <c r="E1194" i="7"/>
  <c r="C1198" i="7"/>
  <c r="R1175" i="7"/>
  <c r="P1175" i="7"/>
  <c r="N1178" i="7"/>
  <c r="J1177" i="7"/>
  <c r="K1177" i="7" s="1"/>
  <c r="J1176" i="7"/>
  <c r="K1176" i="7" s="1"/>
  <c r="G1177" i="7"/>
  <c r="G1179" i="7" s="1"/>
  <c r="C1179" i="7"/>
  <c r="E1177" i="7"/>
  <c r="E1179" i="7" s="1"/>
  <c r="R1098" i="7"/>
  <c r="R1099" i="7"/>
  <c r="R1100" i="7"/>
  <c r="R1101" i="7"/>
  <c r="R1102" i="7"/>
  <c r="R1103" i="7"/>
  <c r="R1104" i="7"/>
  <c r="R1105" i="7"/>
  <c r="R1106" i="7"/>
  <c r="R1107" i="7"/>
  <c r="R1108" i="7"/>
  <c r="R1109" i="7"/>
  <c r="R1110" i="7"/>
  <c r="R1111" i="7"/>
  <c r="R1112" i="7"/>
  <c r="R1113" i="7"/>
  <c r="R1114" i="7"/>
  <c r="R1115" i="7"/>
  <c r="R1116" i="7"/>
  <c r="R1117" i="7"/>
  <c r="R1118" i="7"/>
  <c r="R1119" i="7"/>
  <c r="R1120" i="7"/>
  <c r="R1121" i="7"/>
  <c r="R1122" i="7"/>
  <c r="R1123" i="7"/>
  <c r="R1124" i="7"/>
  <c r="R1125" i="7"/>
  <c r="R1126" i="7"/>
  <c r="R1127" i="7"/>
  <c r="R1128" i="7"/>
  <c r="R1129" i="7"/>
  <c r="R1130" i="7"/>
  <c r="R1131" i="7"/>
  <c r="R1132" i="7"/>
  <c r="R1133" i="7"/>
  <c r="R1134" i="7"/>
  <c r="R1135" i="7"/>
  <c r="R1136" i="7"/>
  <c r="R1137" i="7"/>
  <c r="R1138" i="7"/>
  <c r="R1139" i="7"/>
  <c r="R1140" i="7"/>
  <c r="R1141" i="7"/>
  <c r="R1142" i="7"/>
  <c r="R1143" i="7"/>
  <c r="R1144" i="7"/>
  <c r="R1145" i="7"/>
  <c r="R1146" i="7"/>
  <c r="R1147" i="7"/>
  <c r="R1148" i="7"/>
  <c r="R1149" i="7"/>
  <c r="R1150" i="7"/>
  <c r="R1151" i="7"/>
  <c r="R1152" i="7"/>
  <c r="R1153" i="7"/>
  <c r="R1154" i="7"/>
  <c r="R1155" i="7"/>
  <c r="R1157" i="7"/>
  <c r="R1158" i="7"/>
  <c r="R1159" i="7"/>
  <c r="P1058" i="7"/>
  <c r="P1059" i="7"/>
  <c r="P1060" i="7"/>
  <c r="P1061" i="7"/>
  <c r="P1062" i="7"/>
  <c r="P1063" i="7"/>
  <c r="P1064" i="7"/>
  <c r="P1065" i="7"/>
  <c r="N1156" i="7"/>
  <c r="G1096" i="7"/>
  <c r="J1096" i="7"/>
  <c r="K1096" i="7" s="1"/>
  <c r="G1097" i="7"/>
  <c r="J1097" i="7"/>
  <c r="K1097" i="7" s="1"/>
  <c r="J1095" i="7"/>
  <c r="K1095" i="7" s="1"/>
  <c r="E1096" i="7"/>
  <c r="E1160" i="7" s="1"/>
  <c r="E1097" i="7"/>
  <c r="C1160" i="7"/>
  <c r="N1076" i="7"/>
  <c r="J1069" i="7"/>
  <c r="K1069" i="7" s="1"/>
  <c r="F1069" i="7"/>
  <c r="J1056" i="7"/>
  <c r="K1056" i="7" s="1"/>
  <c r="J1057" i="7"/>
  <c r="K1057" i="7" s="1"/>
  <c r="J1055" i="7"/>
  <c r="K1055" i="7" s="1"/>
  <c r="C1080" i="7"/>
  <c r="E1069" i="7"/>
  <c r="E1056" i="7"/>
  <c r="E1057" i="7"/>
  <c r="E1058" i="7"/>
  <c r="R1058" i="7" s="1"/>
  <c r="E1059" i="7"/>
  <c r="R1059" i="7" s="1"/>
  <c r="E1060" i="7"/>
  <c r="R1060" i="7" s="1"/>
  <c r="E1061" i="7"/>
  <c r="R1061" i="7" s="1"/>
  <c r="E1062" i="7"/>
  <c r="R1062" i="7" s="1"/>
  <c r="E1063" i="7"/>
  <c r="R1063" i="7" s="1"/>
  <c r="E1064" i="7"/>
  <c r="R1064" i="7" s="1"/>
  <c r="E1065" i="7"/>
  <c r="R1065" i="7" s="1"/>
  <c r="R987" i="7"/>
  <c r="R988" i="7"/>
  <c r="R989" i="7"/>
  <c r="R990" i="7"/>
  <c r="R991" i="7"/>
  <c r="R992" i="7"/>
  <c r="R993" i="7"/>
  <c r="R994" i="7"/>
  <c r="R995" i="7"/>
  <c r="R996" i="7"/>
  <c r="R998" i="7"/>
  <c r="R999" i="7"/>
  <c r="R1000" i="7"/>
  <c r="R1001" i="7"/>
  <c r="R1002" i="7"/>
  <c r="R1003" i="7"/>
  <c r="R1004" i="7"/>
  <c r="R1005" i="7"/>
  <c r="R1006" i="7"/>
  <c r="R1007" i="7"/>
  <c r="R1008" i="7"/>
  <c r="R1009" i="7"/>
  <c r="R1010" i="7"/>
  <c r="R1011" i="7"/>
  <c r="R1012" i="7"/>
  <c r="R1013" i="7"/>
  <c r="R1014" i="7"/>
  <c r="R1015" i="7"/>
  <c r="R1016" i="7"/>
  <c r="R1017" i="7"/>
  <c r="R1018" i="7"/>
  <c r="R1019" i="7"/>
  <c r="R1020" i="7"/>
  <c r="R1021" i="7"/>
  <c r="R1022" i="7"/>
  <c r="R1023" i="7"/>
  <c r="R1024" i="7"/>
  <c r="R1025" i="7"/>
  <c r="R1026" i="7"/>
  <c r="R1027" i="7"/>
  <c r="R1028" i="7"/>
  <c r="R1029" i="7"/>
  <c r="R1030" i="7"/>
  <c r="R1031" i="7"/>
  <c r="R1032" i="7"/>
  <c r="R1033" i="7"/>
  <c r="R1034" i="7"/>
  <c r="R1035" i="7"/>
  <c r="R1036" i="7"/>
  <c r="R1037" i="7"/>
  <c r="R1038" i="7"/>
  <c r="R1039" i="7"/>
  <c r="P987" i="7"/>
  <c r="P988" i="7"/>
  <c r="P989" i="7"/>
  <c r="P990" i="7"/>
  <c r="P991" i="7"/>
  <c r="P992" i="7"/>
  <c r="P993" i="7"/>
  <c r="P994" i="7"/>
  <c r="P995" i="7"/>
  <c r="P996" i="7"/>
  <c r="P998" i="7"/>
  <c r="P999" i="7"/>
  <c r="P1000" i="7"/>
  <c r="P1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N997" i="7"/>
  <c r="J986" i="7"/>
  <c r="K986" i="7" s="1"/>
  <c r="G1040" i="7"/>
  <c r="C1040" i="7"/>
  <c r="R947" i="7"/>
  <c r="P945" i="7"/>
  <c r="N957" i="7"/>
  <c r="O957" i="7" s="1"/>
  <c r="R957" i="7" s="1"/>
  <c r="J937" i="7"/>
  <c r="K937" i="7" s="1"/>
  <c r="J938" i="7"/>
  <c r="K938" i="7" s="1"/>
  <c r="J939" i="7"/>
  <c r="K939" i="7" s="1"/>
  <c r="R939" i="7" s="1"/>
  <c r="J940" i="7"/>
  <c r="P940" i="7" s="1"/>
  <c r="K940" i="7"/>
  <c r="R940" i="7" s="1"/>
  <c r="J941" i="7"/>
  <c r="K941" i="7" s="1"/>
  <c r="R941" i="7" s="1"/>
  <c r="J942" i="7"/>
  <c r="P942" i="7" s="1"/>
  <c r="J943" i="7"/>
  <c r="K943" i="7" s="1"/>
  <c r="R943" i="7" s="1"/>
  <c r="J944" i="7"/>
  <c r="K944" i="7" s="1"/>
  <c r="R944" i="7" s="1"/>
  <c r="J945" i="7"/>
  <c r="K945" i="7" s="1"/>
  <c r="R945" i="7" s="1"/>
  <c r="J946" i="7"/>
  <c r="P946" i="7" s="1"/>
  <c r="K946" i="7"/>
  <c r="R946" i="7" s="1"/>
  <c r="J947" i="7"/>
  <c r="K947" i="7" s="1"/>
  <c r="J948" i="7"/>
  <c r="P948" i="7" s="1"/>
  <c r="K948" i="7"/>
  <c r="R948" i="7" s="1"/>
  <c r="J949" i="7"/>
  <c r="K949" i="7" s="1"/>
  <c r="R949" i="7" s="1"/>
  <c r="J950" i="7"/>
  <c r="P950" i="7" s="1"/>
  <c r="J951" i="7"/>
  <c r="K951" i="7" s="1"/>
  <c r="R951" i="7" s="1"/>
  <c r="J952" i="7"/>
  <c r="K952" i="7" s="1"/>
  <c r="R952" i="7" s="1"/>
  <c r="J953" i="7"/>
  <c r="P953" i="7" s="1"/>
  <c r="J954" i="7"/>
  <c r="P954" i="7" s="1"/>
  <c r="J955" i="7"/>
  <c r="P955" i="7" s="1"/>
  <c r="J956" i="7"/>
  <c r="K956" i="7" s="1"/>
  <c r="R956" i="7" s="1"/>
  <c r="J936" i="7"/>
  <c r="K936" i="7" s="1"/>
  <c r="J860" i="7"/>
  <c r="K860" i="7" s="1"/>
  <c r="J859" i="7"/>
  <c r="K859" i="7" s="1"/>
  <c r="G937" i="7"/>
  <c r="G938" i="7"/>
  <c r="G936" i="7"/>
  <c r="G860" i="7"/>
  <c r="G961" i="7" s="1"/>
  <c r="E937" i="7"/>
  <c r="E938" i="7"/>
  <c r="E936" i="7"/>
  <c r="E860" i="7"/>
  <c r="E961" i="7" s="1"/>
  <c r="E861" i="7"/>
  <c r="R861" i="7" s="1"/>
  <c r="E862" i="7"/>
  <c r="R862" i="7" s="1"/>
  <c r="E863" i="7"/>
  <c r="R863" i="7" s="1"/>
  <c r="E864" i="7"/>
  <c r="R864" i="7" s="1"/>
  <c r="E865" i="7"/>
  <c r="R865" i="7" s="1"/>
  <c r="E866" i="7"/>
  <c r="R866" i="7" s="1"/>
  <c r="E867" i="7"/>
  <c r="R867" i="7" s="1"/>
  <c r="E868" i="7"/>
  <c r="R868" i="7" s="1"/>
  <c r="E869" i="7"/>
  <c r="R869" i="7" s="1"/>
  <c r="E870" i="7"/>
  <c r="R870" i="7" s="1"/>
  <c r="E871" i="7"/>
  <c r="R871" i="7" s="1"/>
  <c r="E872" i="7"/>
  <c r="R872" i="7" s="1"/>
  <c r="E873" i="7"/>
  <c r="R873" i="7" s="1"/>
  <c r="E874" i="7"/>
  <c r="R874" i="7" s="1"/>
  <c r="E875" i="7"/>
  <c r="R875" i="7" s="1"/>
  <c r="E876" i="7"/>
  <c r="R876" i="7" s="1"/>
  <c r="E877" i="7"/>
  <c r="R877" i="7" s="1"/>
  <c r="E878" i="7"/>
  <c r="R878" i="7" s="1"/>
  <c r="E879" i="7"/>
  <c r="R879" i="7" s="1"/>
  <c r="E880" i="7"/>
  <c r="R880" i="7" s="1"/>
  <c r="E881" i="7"/>
  <c r="R881" i="7" s="1"/>
  <c r="E882" i="7"/>
  <c r="R882" i="7" s="1"/>
  <c r="E883" i="7"/>
  <c r="R883" i="7" s="1"/>
  <c r="E884" i="7"/>
  <c r="R884" i="7" s="1"/>
  <c r="E885" i="7"/>
  <c r="R885" i="7" s="1"/>
  <c r="E886" i="7"/>
  <c r="R886" i="7" s="1"/>
  <c r="E887" i="7"/>
  <c r="R887" i="7" s="1"/>
  <c r="E888" i="7"/>
  <c r="R888" i="7" s="1"/>
  <c r="E889" i="7"/>
  <c r="R889" i="7" s="1"/>
  <c r="E890" i="7"/>
  <c r="R890" i="7" s="1"/>
  <c r="E891" i="7"/>
  <c r="R891" i="7" s="1"/>
  <c r="E892" i="7"/>
  <c r="R892" i="7" s="1"/>
  <c r="E893" i="7"/>
  <c r="R893" i="7" s="1"/>
  <c r="E894" i="7"/>
  <c r="R894" i="7" s="1"/>
  <c r="E895" i="7"/>
  <c r="R895" i="7" s="1"/>
  <c r="E896" i="7"/>
  <c r="R896" i="7" s="1"/>
  <c r="E897" i="7"/>
  <c r="R897" i="7" s="1"/>
  <c r="E898" i="7"/>
  <c r="R898" i="7" s="1"/>
  <c r="E899" i="7"/>
  <c r="R899" i="7" s="1"/>
  <c r="E900" i="7"/>
  <c r="R900" i="7" s="1"/>
  <c r="E901" i="7"/>
  <c r="R901" i="7" s="1"/>
  <c r="E902" i="7"/>
  <c r="R902" i="7" s="1"/>
  <c r="E903" i="7"/>
  <c r="R903" i="7" s="1"/>
  <c r="E904" i="7"/>
  <c r="R904" i="7" s="1"/>
  <c r="E905" i="7"/>
  <c r="R905" i="7" s="1"/>
  <c r="E906" i="7"/>
  <c r="R906" i="7" s="1"/>
  <c r="E907" i="7"/>
  <c r="R907" i="7" s="1"/>
  <c r="E908" i="7"/>
  <c r="R908" i="7" s="1"/>
  <c r="E909" i="7"/>
  <c r="R909" i="7" s="1"/>
  <c r="E910" i="7"/>
  <c r="R910" i="7" s="1"/>
  <c r="E911" i="7"/>
  <c r="R911" i="7" s="1"/>
  <c r="E912" i="7"/>
  <c r="R912" i="7" s="1"/>
  <c r="E913" i="7"/>
  <c r="R913" i="7" s="1"/>
  <c r="E914" i="7"/>
  <c r="R914" i="7" s="1"/>
  <c r="E915" i="7"/>
  <c r="R915" i="7" s="1"/>
  <c r="E916" i="7"/>
  <c r="R916" i="7" s="1"/>
  <c r="E917" i="7"/>
  <c r="R917" i="7" s="1"/>
  <c r="E918" i="7"/>
  <c r="R918" i="7" s="1"/>
  <c r="E919" i="7"/>
  <c r="R919" i="7" s="1"/>
  <c r="E920" i="7"/>
  <c r="R920" i="7" s="1"/>
  <c r="E921" i="7"/>
  <c r="R921" i="7" s="1"/>
  <c r="C961" i="7"/>
  <c r="R815" i="7"/>
  <c r="R814" i="7"/>
  <c r="P833" i="7"/>
  <c r="P815" i="7"/>
  <c r="P814" i="7"/>
  <c r="N839" i="7"/>
  <c r="O839" i="7" s="1"/>
  <c r="R839" i="7" s="1"/>
  <c r="J819" i="7"/>
  <c r="K819" i="7" s="1"/>
  <c r="J820" i="7"/>
  <c r="K820" i="7" s="1"/>
  <c r="J821" i="7"/>
  <c r="P821" i="7" s="1"/>
  <c r="J822" i="7"/>
  <c r="P822" i="7" s="1"/>
  <c r="K822" i="7"/>
  <c r="J823" i="7"/>
  <c r="P823" i="7" s="1"/>
  <c r="K823" i="7"/>
  <c r="J824" i="7"/>
  <c r="P824" i="7" s="1"/>
  <c r="K824" i="7"/>
  <c r="J825" i="7"/>
  <c r="P825" i="7" s="1"/>
  <c r="K825" i="7"/>
  <c r="J826" i="7"/>
  <c r="P826" i="7" s="1"/>
  <c r="J827" i="7"/>
  <c r="P827" i="7" s="1"/>
  <c r="K827" i="7"/>
  <c r="J828" i="7"/>
  <c r="P828" i="7" s="1"/>
  <c r="K828" i="7"/>
  <c r="J829" i="7"/>
  <c r="K829" i="7" s="1"/>
  <c r="J830" i="7"/>
  <c r="P830" i="7" s="1"/>
  <c r="J831" i="7"/>
  <c r="P831" i="7" s="1"/>
  <c r="J832" i="7"/>
  <c r="P832" i="7" s="1"/>
  <c r="K832" i="7"/>
  <c r="R832" i="7" s="1"/>
  <c r="J833" i="7"/>
  <c r="K833" i="7" s="1"/>
  <c r="J834" i="7"/>
  <c r="P834" i="7" s="1"/>
  <c r="K834" i="7"/>
  <c r="R834" i="7" s="1"/>
  <c r="J835" i="7"/>
  <c r="P835" i="7" s="1"/>
  <c r="J836" i="7"/>
  <c r="P836" i="7" s="1"/>
  <c r="J837" i="7"/>
  <c r="P837" i="7" s="1"/>
  <c r="J838" i="7"/>
  <c r="P838" i="7" s="1"/>
  <c r="J818" i="7"/>
  <c r="K818" i="7" s="1"/>
  <c r="J816" i="7"/>
  <c r="K816" i="7" s="1"/>
  <c r="J729" i="7"/>
  <c r="K729" i="7" s="1"/>
  <c r="J730" i="7"/>
  <c r="K730" i="7" s="1"/>
  <c r="J731" i="7"/>
  <c r="K731" i="7" s="1"/>
  <c r="J732" i="7"/>
  <c r="K732" i="7" s="1"/>
  <c r="J733" i="7"/>
  <c r="K733" i="7" s="1"/>
  <c r="J734" i="7"/>
  <c r="K734" i="7" s="1"/>
  <c r="J735" i="7"/>
  <c r="K735" i="7" s="1"/>
  <c r="J736" i="7"/>
  <c r="K736" i="7" s="1"/>
  <c r="J737" i="7"/>
  <c r="K737" i="7" s="1"/>
  <c r="J738" i="7"/>
  <c r="K738" i="7" s="1"/>
  <c r="J739" i="7"/>
  <c r="K739" i="7" s="1"/>
  <c r="J740" i="7"/>
  <c r="K740" i="7" s="1"/>
  <c r="J741" i="7"/>
  <c r="K741" i="7" s="1"/>
  <c r="J742" i="7"/>
  <c r="K742" i="7" s="1"/>
  <c r="J743" i="7"/>
  <c r="K743" i="7" s="1"/>
  <c r="J744" i="7"/>
  <c r="K744" i="7" s="1"/>
  <c r="J745" i="7"/>
  <c r="K745" i="7" s="1"/>
  <c r="J746" i="7"/>
  <c r="K746" i="7" s="1"/>
  <c r="J747" i="7"/>
  <c r="K747" i="7" s="1"/>
  <c r="J748" i="7"/>
  <c r="K748" i="7" s="1"/>
  <c r="J749" i="7"/>
  <c r="K749" i="7" s="1"/>
  <c r="J750" i="7"/>
  <c r="K750" i="7" s="1"/>
  <c r="J751" i="7"/>
  <c r="K751" i="7" s="1"/>
  <c r="J752" i="7"/>
  <c r="K752" i="7" s="1"/>
  <c r="J753" i="7"/>
  <c r="K753" i="7" s="1"/>
  <c r="J754" i="7"/>
  <c r="K754" i="7" s="1"/>
  <c r="J755" i="7"/>
  <c r="K755" i="7" s="1"/>
  <c r="J756" i="7"/>
  <c r="K756" i="7" s="1"/>
  <c r="J757" i="7"/>
  <c r="K757" i="7" s="1"/>
  <c r="J758" i="7"/>
  <c r="K758" i="7" s="1"/>
  <c r="J759" i="7"/>
  <c r="K759" i="7" s="1"/>
  <c r="J760" i="7"/>
  <c r="K760" i="7" s="1"/>
  <c r="J761" i="7"/>
  <c r="K761" i="7" s="1"/>
  <c r="J762" i="7"/>
  <c r="K762" i="7" s="1"/>
  <c r="J763" i="7"/>
  <c r="K763" i="7" s="1"/>
  <c r="J764" i="7"/>
  <c r="K764" i="7" s="1"/>
  <c r="J765" i="7"/>
  <c r="K765" i="7" s="1"/>
  <c r="J766" i="7"/>
  <c r="K766" i="7" s="1"/>
  <c r="J767" i="7"/>
  <c r="K767" i="7" s="1"/>
  <c r="J768" i="7"/>
  <c r="K768" i="7" s="1"/>
  <c r="J769" i="7"/>
  <c r="K769" i="7" s="1"/>
  <c r="J770" i="7"/>
  <c r="K770" i="7" s="1"/>
  <c r="J771" i="7"/>
  <c r="K771" i="7" s="1"/>
  <c r="J772" i="7"/>
  <c r="K772" i="7" s="1"/>
  <c r="J773" i="7"/>
  <c r="K773" i="7" s="1"/>
  <c r="J774" i="7"/>
  <c r="K774" i="7" s="1"/>
  <c r="J775" i="7"/>
  <c r="K775" i="7" s="1"/>
  <c r="J776" i="7"/>
  <c r="K776" i="7" s="1"/>
  <c r="J777" i="7"/>
  <c r="K777" i="7" s="1"/>
  <c r="J778" i="7"/>
  <c r="K778" i="7" s="1"/>
  <c r="J779" i="7"/>
  <c r="K779" i="7" s="1"/>
  <c r="J780" i="7"/>
  <c r="K780" i="7" s="1"/>
  <c r="J781" i="7"/>
  <c r="K781" i="7" s="1"/>
  <c r="J782" i="7"/>
  <c r="K782" i="7" s="1"/>
  <c r="J783" i="7"/>
  <c r="K783" i="7"/>
  <c r="J784" i="7"/>
  <c r="K784" i="7" s="1"/>
  <c r="J785" i="7"/>
  <c r="K785" i="7" s="1"/>
  <c r="J786" i="7"/>
  <c r="K786" i="7" s="1"/>
  <c r="J787" i="7"/>
  <c r="K787" i="7" s="1"/>
  <c r="J788" i="7"/>
  <c r="K788" i="7" s="1"/>
  <c r="J789" i="7"/>
  <c r="K789" i="7" s="1"/>
  <c r="J790" i="7"/>
  <c r="K790" i="7" s="1"/>
  <c r="J791" i="7"/>
  <c r="K791" i="7" s="1"/>
  <c r="J792" i="7"/>
  <c r="K792" i="7" s="1"/>
  <c r="J793" i="7"/>
  <c r="K793" i="7" s="1"/>
  <c r="J794" i="7"/>
  <c r="K794" i="7" s="1"/>
  <c r="J795" i="7"/>
  <c r="K795" i="7" s="1"/>
  <c r="J796" i="7"/>
  <c r="K796" i="7" s="1"/>
  <c r="J797" i="7"/>
  <c r="K797" i="7" s="1"/>
  <c r="J798" i="7"/>
  <c r="K798" i="7" s="1"/>
  <c r="J799" i="7"/>
  <c r="K799" i="7"/>
  <c r="J800" i="7"/>
  <c r="K800" i="7" s="1"/>
  <c r="J801" i="7"/>
  <c r="K801" i="7" s="1"/>
  <c r="J802" i="7"/>
  <c r="K802" i="7" s="1"/>
  <c r="J803" i="7"/>
  <c r="K803" i="7" s="1"/>
  <c r="J728" i="7"/>
  <c r="K728" i="7" s="1"/>
  <c r="G819" i="7"/>
  <c r="G820" i="7"/>
  <c r="G818" i="7"/>
  <c r="G816" i="7"/>
  <c r="G729" i="7"/>
  <c r="G730" i="7"/>
  <c r="C843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18" i="7"/>
  <c r="E816" i="7"/>
  <c r="E729" i="7"/>
  <c r="E730" i="7"/>
  <c r="K836" i="7" l="1"/>
  <c r="R836" i="7" s="1"/>
  <c r="K826" i="7"/>
  <c r="R826" i="7" s="1"/>
  <c r="E843" i="7"/>
  <c r="P1076" i="7"/>
  <c r="O1076" i="7"/>
  <c r="K953" i="7"/>
  <c r="R953" i="7" s="1"/>
  <c r="P1197" i="7"/>
  <c r="O1197" i="7"/>
  <c r="O1179" i="7"/>
  <c r="O1178" i="7"/>
  <c r="R824" i="7"/>
  <c r="R833" i="7"/>
  <c r="K950" i="7"/>
  <c r="R950" i="7" s="1"/>
  <c r="O997" i="7"/>
  <c r="R997" i="7" s="1"/>
  <c r="E881" i="6"/>
  <c r="E1080" i="7"/>
  <c r="G1160" i="7"/>
  <c r="E1198" i="7"/>
  <c r="R822" i="7"/>
  <c r="O1156" i="7"/>
  <c r="O1160" i="7" s="1"/>
  <c r="G843" i="7"/>
  <c r="K830" i="7"/>
  <c r="R830" i="7" s="1"/>
  <c r="K821" i="7"/>
  <c r="R821" i="7" s="1"/>
  <c r="R829" i="7"/>
  <c r="R828" i="7"/>
  <c r="K838" i="7"/>
  <c r="R838" i="7" s="1"/>
  <c r="K955" i="7"/>
  <c r="R955" i="7" s="1"/>
  <c r="M562" i="6"/>
  <c r="O562" i="6" s="1"/>
  <c r="M600" i="6"/>
  <c r="O600" i="6" s="1"/>
  <c r="K882" i="6"/>
  <c r="L94" i="6"/>
  <c r="M795" i="6"/>
  <c r="O795" i="6" s="1"/>
  <c r="G881" i="6"/>
  <c r="P1069" i="7"/>
  <c r="P1056" i="7"/>
  <c r="P1057" i="7"/>
  <c r="P1055" i="7"/>
  <c r="P1178" i="7"/>
  <c r="P957" i="7"/>
  <c r="R729" i="7"/>
  <c r="R1194" i="7"/>
  <c r="R1096" i="7"/>
  <c r="R820" i="7"/>
  <c r="O1040" i="7"/>
  <c r="O961" i="7"/>
  <c r="R730" i="7"/>
  <c r="M524" i="6"/>
  <c r="O524" i="6" s="1"/>
  <c r="L142" i="6"/>
  <c r="G410" i="6"/>
  <c r="E410" i="6"/>
  <c r="R938" i="7"/>
  <c r="G1057" i="7"/>
  <c r="R1057" i="7" s="1"/>
  <c r="P820" i="7"/>
  <c r="P829" i="7"/>
  <c r="R937" i="7"/>
  <c r="P956" i="7"/>
  <c r="P952" i="7"/>
  <c r="P944" i="7"/>
  <c r="G1056" i="7"/>
  <c r="G1080" i="7" s="1"/>
  <c r="P1097" i="7"/>
  <c r="R1177" i="7"/>
  <c r="P1196" i="7"/>
  <c r="M487" i="6"/>
  <c r="P941" i="7"/>
  <c r="R816" i="7"/>
  <c r="K837" i="7"/>
  <c r="R837" i="7" s="1"/>
  <c r="K835" i="7"/>
  <c r="R835" i="7" s="1"/>
  <c r="K831" i="7"/>
  <c r="R831" i="7" s="1"/>
  <c r="R827" i="7"/>
  <c r="R825" i="7"/>
  <c r="R823" i="7"/>
  <c r="R819" i="7"/>
  <c r="P730" i="7"/>
  <c r="P818" i="7"/>
  <c r="R936" i="7"/>
  <c r="K942" i="7"/>
  <c r="R942" i="7" s="1"/>
  <c r="P951" i="7"/>
  <c r="P947" i="7"/>
  <c r="P943" i="7"/>
  <c r="P939" i="7"/>
  <c r="G1069" i="7"/>
  <c r="R1069" i="7" s="1"/>
  <c r="R1097" i="7"/>
  <c r="R1156" i="7"/>
  <c r="R1178" i="7"/>
  <c r="M637" i="6"/>
  <c r="O637" i="6" s="1"/>
  <c r="M365" i="6"/>
  <c r="O365" i="6" s="1"/>
  <c r="M40" i="12"/>
  <c r="P949" i="7"/>
  <c r="R818" i="7"/>
  <c r="P729" i="7"/>
  <c r="K954" i="7"/>
  <c r="R954" i="7" s="1"/>
  <c r="P860" i="7"/>
  <c r="R1195" i="7"/>
  <c r="M142" i="6"/>
  <c r="O142" i="6" s="1"/>
  <c r="O40" i="12"/>
  <c r="M409" i="6"/>
  <c r="M321" i="6"/>
  <c r="O321" i="6" s="1"/>
  <c r="M274" i="6"/>
  <c r="O143" i="6"/>
  <c r="M186" i="6"/>
  <c r="M94" i="6"/>
  <c r="O94" i="6" s="1"/>
  <c r="M49" i="6"/>
  <c r="O49" i="6" s="1"/>
  <c r="M880" i="6"/>
  <c r="M832" i="6"/>
  <c r="O832" i="6" s="1"/>
  <c r="M756" i="6"/>
  <c r="O756" i="6" s="1"/>
  <c r="M718" i="6"/>
  <c r="O718" i="6" s="1"/>
  <c r="M681" i="6"/>
  <c r="O681" i="6" s="1"/>
  <c r="R1192" i="7"/>
  <c r="K1196" i="7"/>
  <c r="R1196" i="7" s="1"/>
  <c r="P1195" i="7"/>
  <c r="P1194" i="7"/>
  <c r="P1192" i="7"/>
  <c r="R1176" i="7"/>
  <c r="P1177" i="7"/>
  <c r="K1179" i="7"/>
  <c r="P1176" i="7"/>
  <c r="P1096" i="7"/>
  <c r="P1095" i="7"/>
  <c r="R1095" i="7"/>
  <c r="P1156" i="7"/>
  <c r="K1160" i="7"/>
  <c r="K1080" i="7"/>
  <c r="R860" i="7"/>
  <c r="R986" i="7"/>
  <c r="P997" i="7"/>
  <c r="P986" i="7"/>
  <c r="K1040" i="7"/>
  <c r="P938" i="7"/>
  <c r="P937" i="7"/>
  <c r="P936" i="7"/>
  <c r="K961" i="7"/>
  <c r="P859" i="7"/>
  <c r="R859" i="7"/>
  <c r="P819" i="7"/>
  <c r="K843" i="7"/>
  <c r="P816" i="7"/>
  <c r="R728" i="7"/>
  <c r="P728" i="7"/>
  <c r="O843" i="7"/>
  <c r="P839" i="7"/>
  <c r="P664" i="7"/>
  <c r="P668" i="7"/>
  <c r="P672" i="7"/>
  <c r="P676" i="7"/>
  <c r="P680" i="7"/>
  <c r="P684" i="7"/>
  <c r="P688" i="7"/>
  <c r="P692" i="7"/>
  <c r="P696" i="7"/>
  <c r="P700" i="7"/>
  <c r="P704" i="7"/>
  <c r="P708" i="7"/>
  <c r="P712" i="7"/>
  <c r="P716" i="7"/>
  <c r="P720" i="7"/>
  <c r="N721" i="7"/>
  <c r="O721" i="7" s="1"/>
  <c r="O725" i="7" s="1"/>
  <c r="J663" i="7"/>
  <c r="J662" i="7"/>
  <c r="K662" i="7" s="1"/>
  <c r="J611" i="7"/>
  <c r="K611" i="7" s="1"/>
  <c r="J612" i="7"/>
  <c r="K612" i="7" s="1"/>
  <c r="J610" i="7"/>
  <c r="G663" i="7"/>
  <c r="G664" i="7"/>
  <c r="G665" i="7"/>
  <c r="G666" i="7"/>
  <c r="R666" i="7" s="1"/>
  <c r="G667" i="7"/>
  <c r="G668" i="7"/>
  <c r="G669" i="7"/>
  <c r="G670" i="7"/>
  <c r="R670" i="7" s="1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R694" i="7" s="1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662" i="7"/>
  <c r="G611" i="7"/>
  <c r="G612" i="7"/>
  <c r="F613" i="7"/>
  <c r="G613" i="7" s="1"/>
  <c r="F614" i="7"/>
  <c r="G614" i="7" s="1"/>
  <c r="F615" i="7"/>
  <c r="G615" i="7"/>
  <c r="F616" i="7"/>
  <c r="G616" i="7" s="1"/>
  <c r="F617" i="7"/>
  <c r="G617" i="7"/>
  <c r="F618" i="7"/>
  <c r="G618" i="7" s="1"/>
  <c r="F619" i="7"/>
  <c r="G619" i="7" s="1"/>
  <c r="F620" i="7"/>
  <c r="G620" i="7" s="1"/>
  <c r="F621" i="7"/>
  <c r="G621" i="7" s="1"/>
  <c r="F622" i="7"/>
  <c r="G622" i="7" s="1"/>
  <c r="F623" i="7"/>
  <c r="G623" i="7"/>
  <c r="F624" i="7"/>
  <c r="G624" i="7" s="1"/>
  <c r="F625" i="7"/>
  <c r="G625" i="7" s="1"/>
  <c r="F626" i="7"/>
  <c r="G626" i="7" s="1"/>
  <c r="F627" i="7"/>
  <c r="G627" i="7" s="1"/>
  <c r="F628" i="7"/>
  <c r="G628" i="7" s="1"/>
  <c r="F629" i="7"/>
  <c r="G629" i="7" s="1"/>
  <c r="F630" i="7"/>
  <c r="G630" i="7" s="1"/>
  <c r="F631" i="7"/>
  <c r="G631" i="7" s="1"/>
  <c r="F632" i="7"/>
  <c r="G632" i="7" s="1"/>
  <c r="E663" i="7"/>
  <c r="E664" i="7"/>
  <c r="E665" i="7"/>
  <c r="E666" i="7"/>
  <c r="E667" i="7"/>
  <c r="E668" i="7"/>
  <c r="E669" i="7"/>
  <c r="R669" i="7" s="1"/>
  <c r="E670" i="7"/>
  <c r="E671" i="7"/>
  <c r="E672" i="7"/>
  <c r="E673" i="7"/>
  <c r="R673" i="7" s="1"/>
  <c r="E674" i="7"/>
  <c r="E675" i="7"/>
  <c r="E676" i="7"/>
  <c r="E677" i="7"/>
  <c r="R677" i="7" s="1"/>
  <c r="E678" i="7"/>
  <c r="R678" i="7" s="1"/>
  <c r="E679" i="7"/>
  <c r="E680" i="7"/>
  <c r="E681" i="7"/>
  <c r="E682" i="7"/>
  <c r="R682" i="7" s="1"/>
  <c r="E683" i="7"/>
  <c r="E684" i="7"/>
  <c r="E685" i="7"/>
  <c r="R685" i="7" s="1"/>
  <c r="E686" i="7"/>
  <c r="E687" i="7"/>
  <c r="E688" i="7"/>
  <c r="E689" i="7"/>
  <c r="R689" i="7" s="1"/>
  <c r="E690" i="7"/>
  <c r="E691" i="7"/>
  <c r="E692" i="7"/>
  <c r="E693" i="7"/>
  <c r="R693" i="7" s="1"/>
  <c r="E694" i="7"/>
  <c r="E695" i="7"/>
  <c r="E696" i="7"/>
  <c r="E697" i="7"/>
  <c r="E698" i="7"/>
  <c r="R698" i="7" s="1"/>
  <c r="E699" i="7"/>
  <c r="E700" i="7"/>
  <c r="E701" i="7"/>
  <c r="R701" i="7" s="1"/>
  <c r="E702" i="7"/>
  <c r="E703" i="7"/>
  <c r="E704" i="7"/>
  <c r="E705" i="7"/>
  <c r="R705" i="7" s="1"/>
  <c r="E706" i="7"/>
  <c r="E707" i="7"/>
  <c r="E708" i="7"/>
  <c r="E709" i="7"/>
  <c r="R709" i="7" s="1"/>
  <c r="E710" i="7"/>
  <c r="R710" i="7" s="1"/>
  <c r="E711" i="7"/>
  <c r="E712" i="7"/>
  <c r="E713" i="7"/>
  <c r="R713" i="7" s="1"/>
  <c r="E714" i="7"/>
  <c r="R714" i="7" s="1"/>
  <c r="E715" i="7"/>
  <c r="E716" i="7"/>
  <c r="E717" i="7"/>
  <c r="R717" i="7" s="1"/>
  <c r="E718" i="7"/>
  <c r="E719" i="7"/>
  <c r="E720" i="7"/>
  <c r="E662" i="7"/>
  <c r="E611" i="7"/>
  <c r="E612" i="7"/>
  <c r="C725" i="7"/>
  <c r="E725" i="7" l="1"/>
  <c r="R1040" i="7"/>
  <c r="T1040" i="7" s="1"/>
  <c r="R706" i="7"/>
  <c r="R690" i="7"/>
  <c r="R674" i="7"/>
  <c r="R697" i="7"/>
  <c r="R681" i="7"/>
  <c r="R665" i="7"/>
  <c r="E882" i="6"/>
  <c r="R718" i="7"/>
  <c r="R686" i="7"/>
  <c r="R702" i="7"/>
  <c r="G882" i="6"/>
  <c r="K1198" i="7"/>
  <c r="P611" i="7"/>
  <c r="R716" i="7"/>
  <c r="R708" i="7"/>
  <c r="R700" i="7"/>
  <c r="R692" i="7"/>
  <c r="R680" i="7"/>
  <c r="R676" i="7"/>
  <c r="R668" i="7"/>
  <c r="R715" i="7"/>
  <c r="R695" i="7"/>
  <c r="R671" i="7"/>
  <c r="R720" i="7"/>
  <c r="R712" i="7"/>
  <c r="R704" i="7"/>
  <c r="R696" i="7"/>
  <c r="R688" i="7"/>
  <c r="R684" i="7"/>
  <c r="R672" i="7"/>
  <c r="R664" i="7"/>
  <c r="R719" i="7"/>
  <c r="R711" i="7"/>
  <c r="R707" i="7"/>
  <c r="R703" i="7"/>
  <c r="R699" i="7"/>
  <c r="R691" i="7"/>
  <c r="R687" i="7"/>
  <c r="R683" i="7"/>
  <c r="R679" i="7"/>
  <c r="R675" i="7"/>
  <c r="R667" i="7"/>
  <c r="G725" i="7"/>
  <c r="R1056" i="7"/>
  <c r="R1179" i="7"/>
  <c r="T1179" i="7" s="1"/>
  <c r="P663" i="7"/>
  <c r="P610" i="7"/>
  <c r="R612" i="7"/>
  <c r="P719" i="7"/>
  <c r="P715" i="7"/>
  <c r="P711" i="7"/>
  <c r="P707" i="7"/>
  <c r="P703" i="7"/>
  <c r="P699" i="7"/>
  <c r="P695" i="7"/>
  <c r="P691" i="7"/>
  <c r="P687" i="7"/>
  <c r="P683" i="7"/>
  <c r="P679" i="7"/>
  <c r="P675" i="7"/>
  <c r="P671" i="7"/>
  <c r="P667" i="7"/>
  <c r="R721" i="7"/>
  <c r="K610" i="7"/>
  <c r="R610" i="7" s="1"/>
  <c r="R843" i="7"/>
  <c r="T843" i="7" s="1"/>
  <c r="R961" i="7"/>
  <c r="T961" i="7" s="1"/>
  <c r="M410" i="6"/>
  <c r="R611" i="7"/>
  <c r="P718" i="7"/>
  <c r="P714" i="7"/>
  <c r="P710" i="7"/>
  <c r="P706" i="7"/>
  <c r="P702" i="7"/>
  <c r="P698" i="7"/>
  <c r="P694" i="7"/>
  <c r="P690" i="7"/>
  <c r="P686" i="7"/>
  <c r="P682" i="7"/>
  <c r="P678" i="7"/>
  <c r="P674" i="7"/>
  <c r="P670" i="7"/>
  <c r="P666" i="7"/>
  <c r="R662" i="7"/>
  <c r="P721" i="7"/>
  <c r="P717" i="7"/>
  <c r="P713" i="7"/>
  <c r="P709" i="7"/>
  <c r="P705" i="7"/>
  <c r="P701" i="7"/>
  <c r="P697" i="7"/>
  <c r="P693" i="7"/>
  <c r="P689" i="7"/>
  <c r="P685" i="7"/>
  <c r="P681" i="7"/>
  <c r="P677" i="7"/>
  <c r="P673" i="7"/>
  <c r="P669" i="7"/>
  <c r="P665" i="7"/>
  <c r="R1160" i="7"/>
  <c r="T1160" i="7" s="1"/>
  <c r="R1197" i="7"/>
  <c r="R1198" i="7" s="1"/>
  <c r="O1198" i="7"/>
  <c r="R1055" i="7"/>
  <c r="O487" i="6"/>
  <c r="M881" i="6"/>
  <c r="O409" i="6"/>
  <c r="O274" i="6"/>
  <c r="O230" i="6"/>
  <c r="O186" i="6"/>
  <c r="O880" i="6"/>
  <c r="R1076" i="7"/>
  <c r="O1080" i="7"/>
  <c r="K663" i="7"/>
  <c r="R663" i="7" s="1"/>
  <c r="P662" i="7"/>
  <c r="P612" i="7"/>
  <c r="P585" i="7"/>
  <c r="R544" i="7"/>
  <c r="R545" i="7"/>
  <c r="R546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1" i="7"/>
  <c r="R562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N563" i="7"/>
  <c r="P563" i="7" s="1"/>
  <c r="N427" i="7"/>
  <c r="O427" i="7" s="1"/>
  <c r="N428" i="7"/>
  <c r="O428" i="7" s="1"/>
  <c r="N429" i="7"/>
  <c r="O429" i="7" s="1"/>
  <c r="N430" i="7"/>
  <c r="O430" i="7" s="1"/>
  <c r="N431" i="7"/>
  <c r="O431" i="7" s="1"/>
  <c r="N432" i="7"/>
  <c r="O432" i="7" s="1"/>
  <c r="N433" i="7"/>
  <c r="O433" i="7" s="1"/>
  <c r="N434" i="7"/>
  <c r="O434" i="7" s="1"/>
  <c r="N435" i="7"/>
  <c r="O435" i="7" s="1"/>
  <c r="N436" i="7"/>
  <c r="O436" i="7" s="1"/>
  <c r="N437" i="7"/>
  <c r="O437" i="7" s="1"/>
  <c r="N438" i="7"/>
  <c r="O438" i="7" s="1"/>
  <c r="N439" i="7"/>
  <c r="O439" i="7" s="1"/>
  <c r="N440" i="7"/>
  <c r="O440" i="7" s="1"/>
  <c r="N441" i="7"/>
  <c r="O441" i="7" s="1"/>
  <c r="N442" i="7"/>
  <c r="O442" i="7" s="1"/>
  <c r="N443" i="7"/>
  <c r="O443" i="7" s="1"/>
  <c r="N444" i="7"/>
  <c r="O444" i="7" s="1"/>
  <c r="N445" i="7"/>
  <c r="O445" i="7" s="1"/>
  <c r="R445" i="7" s="1"/>
  <c r="N446" i="7"/>
  <c r="O446" i="7" s="1"/>
  <c r="N447" i="7"/>
  <c r="O447" i="7" s="1"/>
  <c r="N448" i="7"/>
  <c r="O448" i="7" s="1"/>
  <c r="N449" i="7"/>
  <c r="O449" i="7" s="1"/>
  <c r="N450" i="7"/>
  <c r="O450" i="7" s="1"/>
  <c r="N451" i="7"/>
  <c r="O451" i="7" s="1"/>
  <c r="N452" i="7"/>
  <c r="O452" i="7" s="1"/>
  <c r="N453" i="7"/>
  <c r="O453" i="7" s="1"/>
  <c r="N454" i="7"/>
  <c r="O454" i="7" s="1"/>
  <c r="N455" i="7"/>
  <c r="O455" i="7" s="1"/>
  <c r="N456" i="7"/>
  <c r="O456" i="7" s="1"/>
  <c r="N457" i="7"/>
  <c r="O457" i="7" s="1"/>
  <c r="N458" i="7"/>
  <c r="O458" i="7" s="1"/>
  <c r="N459" i="7"/>
  <c r="O459" i="7" s="1"/>
  <c r="N460" i="7"/>
  <c r="O460" i="7" s="1"/>
  <c r="N461" i="7"/>
  <c r="O461" i="7" s="1"/>
  <c r="N462" i="7"/>
  <c r="O462" i="7" s="1"/>
  <c r="N463" i="7"/>
  <c r="O463" i="7" s="1"/>
  <c r="N464" i="7"/>
  <c r="O464" i="7" s="1"/>
  <c r="N465" i="7"/>
  <c r="O465" i="7" s="1"/>
  <c r="N466" i="7"/>
  <c r="O466" i="7" s="1"/>
  <c r="N467" i="7"/>
  <c r="O467" i="7" s="1"/>
  <c r="N468" i="7"/>
  <c r="O468" i="7" s="1"/>
  <c r="N469" i="7"/>
  <c r="O469" i="7" s="1"/>
  <c r="N470" i="7"/>
  <c r="O470" i="7" s="1"/>
  <c r="N471" i="7"/>
  <c r="O471" i="7" s="1"/>
  <c r="N472" i="7"/>
  <c r="O472" i="7" s="1"/>
  <c r="N473" i="7"/>
  <c r="O473" i="7" s="1"/>
  <c r="N474" i="7"/>
  <c r="O474" i="7" s="1"/>
  <c r="N475" i="7"/>
  <c r="O475" i="7" s="1"/>
  <c r="N476" i="7"/>
  <c r="O476" i="7" s="1"/>
  <c r="N477" i="7"/>
  <c r="O477" i="7" s="1"/>
  <c r="N478" i="7"/>
  <c r="O478" i="7" s="1"/>
  <c r="N479" i="7"/>
  <c r="O479" i="7" s="1"/>
  <c r="N480" i="7"/>
  <c r="O480" i="7" s="1"/>
  <c r="N481" i="7"/>
  <c r="O481" i="7" s="1"/>
  <c r="N482" i="7"/>
  <c r="O482" i="7" s="1"/>
  <c r="N483" i="7"/>
  <c r="O483" i="7" s="1"/>
  <c r="N484" i="7"/>
  <c r="O484" i="7" s="1"/>
  <c r="N485" i="7"/>
  <c r="O485" i="7" s="1"/>
  <c r="N486" i="7"/>
  <c r="O486" i="7" s="1"/>
  <c r="N487" i="7"/>
  <c r="O487" i="7" s="1"/>
  <c r="N603" i="7"/>
  <c r="O603" i="7" s="1"/>
  <c r="R603" i="7" s="1"/>
  <c r="J571" i="7"/>
  <c r="K571" i="7" s="1"/>
  <c r="J572" i="7"/>
  <c r="J573" i="7"/>
  <c r="K573" i="7" s="1"/>
  <c r="J574" i="7"/>
  <c r="P574" i="7" s="1"/>
  <c r="J575" i="7"/>
  <c r="K575" i="7" s="1"/>
  <c r="J576" i="7"/>
  <c r="K576" i="7" s="1"/>
  <c r="J577" i="7"/>
  <c r="K577" i="7" s="1"/>
  <c r="J578" i="7"/>
  <c r="P578" i="7" s="1"/>
  <c r="K578" i="7"/>
  <c r="J579" i="7"/>
  <c r="K579" i="7" s="1"/>
  <c r="J580" i="7"/>
  <c r="P580" i="7" s="1"/>
  <c r="J581" i="7"/>
  <c r="K581" i="7" s="1"/>
  <c r="J582" i="7"/>
  <c r="P582" i="7" s="1"/>
  <c r="J583" i="7"/>
  <c r="K583" i="7" s="1"/>
  <c r="J584" i="7"/>
  <c r="K584" i="7" s="1"/>
  <c r="J585" i="7"/>
  <c r="K585" i="7" s="1"/>
  <c r="J586" i="7"/>
  <c r="P586" i="7" s="1"/>
  <c r="K586" i="7"/>
  <c r="J587" i="7"/>
  <c r="K587" i="7" s="1"/>
  <c r="J588" i="7"/>
  <c r="P588" i="7" s="1"/>
  <c r="J589" i="7"/>
  <c r="K589" i="7" s="1"/>
  <c r="J590" i="7"/>
  <c r="P590" i="7" s="1"/>
  <c r="J591" i="7"/>
  <c r="K591" i="7" s="1"/>
  <c r="J592" i="7"/>
  <c r="K592" i="7" s="1"/>
  <c r="J593" i="7"/>
  <c r="K593" i="7" s="1"/>
  <c r="J594" i="7"/>
  <c r="P594" i="7" s="1"/>
  <c r="K594" i="7"/>
  <c r="J595" i="7"/>
  <c r="K595" i="7" s="1"/>
  <c r="J596" i="7"/>
  <c r="P596" i="7" s="1"/>
  <c r="J597" i="7"/>
  <c r="K597" i="7" s="1"/>
  <c r="J598" i="7"/>
  <c r="P598" i="7" s="1"/>
  <c r="J599" i="7"/>
  <c r="K599" i="7" s="1"/>
  <c r="J600" i="7"/>
  <c r="K600" i="7" s="1"/>
  <c r="J601" i="7"/>
  <c r="K601" i="7" s="1"/>
  <c r="J602" i="7"/>
  <c r="P602" i="7" s="1"/>
  <c r="K602" i="7"/>
  <c r="J570" i="7"/>
  <c r="K570" i="7" s="1"/>
  <c r="G571" i="7"/>
  <c r="G572" i="7"/>
  <c r="E571" i="7"/>
  <c r="E572" i="7"/>
  <c r="C607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J543" i="7"/>
  <c r="K543" i="7" s="1"/>
  <c r="G543" i="7"/>
  <c r="G492" i="7"/>
  <c r="J492" i="7"/>
  <c r="G493" i="7"/>
  <c r="J493" i="7"/>
  <c r="K493" i="7" s="1"/>
  <c r="J491" i="7"/>
  <c r="E543" i="7"/>
  <c r="E492" i="7"/>
  <c r="E493" i="7"/>
  <c r="C567" i="7"/>
  <c r="Q488" i="7"/>
  <c r="N378" i="7"/>
  <c r="O378" i="7" s="1"/>
  <c r="N379" i="7"/>
  <c r="O379" i="7" s="1"/>
  <c r="N380" i="7"/>
  <c r="O380" i="7" s="1"/>
  <c r="N381" i="7"/>
  <c r="O381" i="7" s="1"/>
  <c r="N382" i="7"/>
  <c r="O382" i="7" s="1"/>
  <c r="N383" i="7"/>
  <c r="O383" i="7" s="1"/>
  <c r="N384" i="7"/>
  <c r="O384" i="7" s="1"/>
  <c r="N385" i="7"/>
  <c r="O385" i="7" s="1"/>
  <c r="N386" i="7"/>
  <c r="O386" i="7" s="1"/>
  <c r="N387" i="7"/>
  <c r="O387" i="7" s="1"/>
  <c r="N388" i="7"/>
  <c r="O388" i="7" s="1"/>
  <c r="N389" i="7"/>
  <c r="O389" i="7" s="1"/>
  <c r="N390" i="7"/>
  <c r="O390" i="7" s="1"/>
  <c r="N391" i="7"/>
  <c r="O391" i="7" s="1"/>
  <c r="N392" i="7"/>
  <c r="O392" i="7" s="1"/>
  <c r="N393" i="7"/>
  <c r="O393" i="7" s="1"/>
  <c r="N394" i="7"/>
  <c r="O394" i="7" s="1"/>
  <c r="N395" i="7"/>
  <c r="O395" i="7" s="1"/>
  <c r="N396" i="7"/>
  <c r="O396" i="7" s="1"/>
  <c r="N397" i="7"/>
  <c r="O397" i="7" s="1"/>
  <c r="N398" i="7"/>
  <c r="O398" i="7" s="1"/>
  <c r="N399" i="7"/>
  <c r="O399" i="7" s="1"/>
  <c r="N400" i="7"/>
  <c r="O400" i="7" s="1"/>
  <c r="N401" i="7"/>
  <c r="O401" i="7" s="1"/>
  <c r="N402" i="7"/>
  <c r="O402" i="7" s="1"/>
  <c r="N403" i="7"/>
  <c r="O403" i="7" s="1"/>
  <c r="N404" i="7"/>
  <c r="O404" i="7" s="1"/>
  <c r="N405" i="7"/>
  <c r="O405" i="7" s="1"/>
  <c r="N406" i="7"/>
  <c r="O406" i="7" s="1"/>
  <c r="N407" i="7"/>
  <c r="O407" i="7" s="1"/>
  <c r="N408" i="7"/>
  <c r="O408" i="7" s="1"/>
  <c r="N409" i="7"/>
  <c r="O409" i="7" s="1"/>
  <c r="N377" i="7"/>
  <c r="O377" i="7" s="1"/>
  <c r="J425" i="7"/>
  <c r="J426" i="7"/>
  <c r="K426" i="7" s="1"/>
  <c r="J424" i="7"/>
  <c r="K424" i="7" s="1"/>
  <c r="J378" i="7"/>
  <c r="K378" i="7" s="1"/>
  <c r="J379" i="7"/>
  <c r="J377" i="7"/>
  <c r="K377" i="7" s="1"/>
  <c r="G425" i="7"/>
  <c r="G426" i="7"/>
  <c r="G424" i="7"/>
  <c r="G378" i="7"/>
  <c r="G379" i="7"/>
  <c r="E607" i="7" l="1"/>
  <c r="P601" i="7"/>
  <c r="P593" i="7"/>
  <c r="P577" i="7"/>
  <c r="E567" i="7"/>
  <c r="P442" i="7"/>
  <c r="P438" i="7"/>
  <c r="P434" i="7"/>
  <c r="P430" i="7"/>
  <c r="K725" i="7"/>
  <c r="G607" i="7"/>
  <c r="G567" i="7"/>
  <c r="G488" i="7"/>
  <c r="R1080" i="7"/>
  <c r="T1080" i="7" s="1"/>
  <c r="P491" i="7"/>
  <c r="R725" i="7"/>
  <c r="T725" i="7" s="1"/>
  <c r="P597" i="7"/>
  <c r="P589" i="7"/>
  <c r="P581" i="7"/>
  <c r="P379" i="7"/>
  <c r="K596" i="7"/>
  <c r="K588" i="7"/>
  <c r="K580" i="7"/>
  <c r="P572" i="7"/>
  <c r="P445" i="7"/>
  <c r="P441" i="7"/>
  <c r="P437" i="7"/>
  <c r="P433" i="7"/>
  <c r="P429" i="7"/>
  <c r="O563" i="7"/>
  <c r="R563" i="7" s="1"/>
  <c r="P600" i="7"/>
  <c r="P592" i="7"/>
  <c r="P584" i="7"/>
  <c r="P576" i="7"/>
  <c r="T1198" i="7"/>
  <c r="K598" i="7"/>
  <c r="K590" i="7"/>
  <c r="K582" i="7"/>
  <c r="K574" i="7"/>
  <c r="R571" i="7"/>
  <c r="P444" i="7"/>
  <c r="P440" i="7"/>
  <c r="P436" i="7"/>
  <c r="P432" i="7"/>
  <c r="P428" i="7"/>
  <c r="K491" i="7"/>
  <c r="P599" i="7"/>
  <c r="P595" i="7"/>
  <c r="P591" i="7"/>
  <c r="P587" i="7"/>
  <c r="P583" i="7"/>
  <c r="P579" i="7"/>
  <c r="P575" i="7"/>
  <c r="O881" i="6"/>
  <c r="M882" i="6"/>
  <c r="P573" i="7"/>
  <c r="P443" i="7"/>
  <c r="P439" i="7"/>
  <c r="P435" i="7"/>
  <c r="P431" i="7"/>
  <c r="P427" i="7"/>
  <c r="O410" i="6"/>
  <c r="K572" i="7"/>
  <c r="R572" i="7" s="1"/>
  <c r="P571" i="7"/>
  <c r="P570" i="7"/>
  <c r="O607" i="7"/>
  <c r="R570" i="7"/>
  <c r="K379" i="7"/>
  <c r="O488" i="7"/>
  <c r="P492" i="7"/>
  <c r="P603" i="7"/>
  <c r="R493" i="7"/>
  <c r="P543" i="7"/>
  <c r="K492" i="7"/>
  <c r="R492" i="7" s="1"/>
  <c r="R543" i="7"/>
  <c r="P493" i="7"/>
  <c r="P425" i="7"/>
  <c r="P378" i="7"/>
  <c r="P377" i="7"/>
  <c r="K425" i="7"/>
  <c r="P426" i="7"/>
  <c r="P424" i="7"/>
  <c r="E425" i="7"/>
  <c r="E426" i="7"/>
  <c r="R426" i="7" s="1"/>
  <c r="E427" i="7"/>
  <c r="R427" i="7" s="1"/>
  <c r="E428" i="7"/>
  <c r="R428" i="7" s="1"/>
  <c r="E429" i="7"/>
  <c r="R429" i="7" s="1"/>
  <c r="E430" i="7"/>
  <c r="R430" i="7" s="1"/>
  <c r="E431" i="7"/>
  <c r="R431" i="7" s="1"/>
  <c r="E432" i="7"/>
  <c r="R432" i="7" s="1"/>
  <c r="E433" i="7"/>
  <c r="R433" i="7" s="1"/>
  <c r="E434" i="7"/>
  <c r="R434" i="7" s="1"/>
  <c r="E435" i="7"/>
  <c r="R435" i="7" s="1"/>
  <c r="E436" i="7"/>
  <c r="R436" i="7" s="1"/>
  <c r="E437" i="7"/>
  <c r="R437" i="7" s="1"/>
  <c r="E438" i="7"/>
  <c r="R438" i="7" s="1"/>
  <c r="E439" i="7"/>
  <c r="R439" i="7" s="1"/>
  <c r="E440" i="7"/>
  <c r="R440" i="7" s="1"/>
  <c r="E441" i="7"/>
  <c r="R441" i="7" s="1"/>
  <c r="E442" i="7"/>
  <c r="R442" i="7" s="1"/>
  <c r="E443" i="7"/>
  <c r="R443" i="7" s="1"/>
  <c r="E444" i="7"/>
  <c r="R444" i="7" s="1"/>
  <c r="E424" i="7"/>
  <c r="R424" i="7" s="1"/>
  <c r="E378" i="7"/>
  <c r="E379" i="7"/>
  <c r="C488" i="7"/>
  <c r="C1200" i="7" s="1"/>
  <c r="N307" i="7"/>
  <c r="O307" i="7" s="1"/>
  <c r="R307" i="7" s="1"/>
  <c r="J305" i="7"/>
  <c r="K305" i="7" s="1"/>
  <c r="J306" i="7"/>
  <c r="K306" i="7" s="1"/>
  <c r="J304" i="7"/>
  <c r="K304" i="7" s="1"/>
  <c r="J302" i="7"/>
  <c r="K302" i="7" s="1"/>
  <c r="J301" i="7"/>
  <c r="K301" i="7" s="1"/>
  <c r="G305" i="7"/>
  <c r="G306" i="7"/>
  <c r="G304" i="7"/>
  <c r="G302" i="7"/>
  <c r="G311" i="7" s="1"/>
  <c r="E305" i="7"/>
  <c r="E306" i="7"/>
  <c r="E304" i="7"/>
  <c r="E302" i="7"/>
  <c r="E311" i="7" s="1"/>
  <c r="C311" i="7"/>
  <c r="N293" i="7"/>
  <c r="O293" i="7" s="1"/>
  <c r="O297" i="7" s="1"/>
  <c r="J292" i="7"/>
  <c r="K292" i="7" s="1"/>
  <c r="J291" i="7"/>
  <c r="J287" i="7"/>
  <c r="J283" i="7"/>
  <c r="K283" i="7" s="1"/>
  <c r="J284" i="7"/>
  <c r="J282" i="7"/>
  <c r="K282" i="7" s="1"/>
  <c r="J279" i="7"/>
  <c r="K279" i="7" s="1"/>
  <c r="J280" i="7"/>
  <c r="K280" i="7" s="1"/>
  <c r="G292" i="7"/>
  <c r="G291" i="7"/>
  <c r="G287" i="7"/>
  <c r="J278" i="7"/>
  <c r="K278" i="7" s="1"/>
  <c r="E292" i="7"/>
  <c r="E291" i="7"/>
  <c r="E287" i="7"/>
  <c r="E283" i="7"/>
  <c r="E284" i="7"/>
  <c r="E282" i="7"/>
  <c r="E280" i="7"/>
  <c r="C297" i="7"/>
  <c r="N271" i="7"/>
  <c r="O271" i="7" s="1"/>
  <c r="R271" i="7" s="1"/>
  <c r="J270" i="7"/>
  <c r="K270" i="7" s="1"/>
  <c r="J269" i="7"/>
  <c r="K269" i="7" s="1"/>
  <c r="J264" i="7"/>
  <c r="K264" i="7" s="1"/>
  <c r="K275" i="7" s="1"/>
  <c r="E270" i="7"/>
  <c r="E269" i="7"/>
  <c r="E275" i="7" s="1"/>
  <c r="G1200" i="7" l="1"/>
  <c r="R378" i="7"/>
  <c r="E488" i="7"/>
  <c r="E297" i="7"/>
  <c r="R379" i="7"/>
  <c r="G297" i="7"/>
  <c r="O882" i="6"/>
  <c r="R607" i="7"/>
  <c r="T607" i="7" s="1"/>
  <c r="K607" i="7"/>
  <c r="P291" i="7"/>
  <c r="R293" i="7"/>
  <c r="O311" i="7"/>
  <c r="P293" i="7"/>
  <c r="R270" i="7"/>
  <c r="R275" i="7" s="1"/>
  <c r="P488" i="7"/>
  <c r="O567" i="7"/>
  <c r="O1200" i="7" s="1"/>
  <c r="R491" i="7"/>
  <c r="R567" i="7" s="1"/>
  <c r="T567" i="7" s="1"/>
  <c r="K567" i="7"/>
  <c r="O275" i="7"/>
  <c r="P284" i="7"/>
  <c r="R292" i="7"/>
  <c r="R305" i="7"/>
  <c r="P304" i="7"/>
  <c r="R269" i="7"/>
  <c r="P271" i="7"/>
  <c r="P280" i="7"/>
  <c r="P305" i="7"/>
  <c r="P306" i="7"/>
  <c r="E1200" i="7"/>
  <c r="R425" i="7"/>
  <c r="P287" i="7"/>
  <c r="P278" i="7"/>
  <c r="R278" i="7"/>
  <c r="P307" i="7"/>
  <c r="K488" i="7"/>
  <c r="R377" i="7"/>
  <c r="R302" i="7"/>
  <c r="R304" i="7"/>
  <c r="R306" i="7"/>
  <c r="K311" i="7"/>
  <c r="P302" i="7"/>
  <c r="R301" i="7"/>
  <c r="P301" i="7"/>
  <c r="R282" i="7"/>
  <c r="R280" i="7"/>
  <c r="R283" i="7"/>
  <c r="K291" i="7"/>
  <c r="R291" i="7" s="1"/>
  <c r="K287" i="7"/>
  <c r="R287" i="7" s="1"/>
  <c r="K284" i="7"/>
  <c r="R284" i="7" s="1"/>
  <c r="R279" i="7"/>
  <c r="P283" i="7"/>
  <c r="P292" i="7"/>
  <c r="P279" i="7"/>
  <c r="P282" i="7"/>
  <c r="P270" i="7"/>
  <c r="P269" i="7"/>
  <c r="P264" i="7"/>
  <c r="R264" i="7"/>
  <c r="R256" i="7"/>
  <c r="N257" i="7"/>
  <c r="P257" i="7" s="1"/>
  <c r="J255" i="7"/>
  <c r="K255" i="7" s="1"/>
  <c r="G255" i="7"/>
  <c r="J252" i="7"/>
  <c r="K252" i="7" s="1"/>
  <c r="J251" i="7"/>
  <c r="K251" i="7" s="1"/>
  <c r="G251" i="7"/>
  <c r="J250" i="7"/>
  <c r="K250" i="7" s="1"/>
  <c r="G250" i="7"/>
  <c r="J248" i="7"/>
  <c r="K248" i="7" s="1"/>
  <c r="G248" i="7"/>
  <c r="J246" i="7"/>
  <c r="K246" i="7" s="1"/>
  <c r="E255" i="7"/>
  <c r="E252" i="7"/>
  <c r="E251" i="7"/>
  <c r="E250" i="7"/>
  <c r="E248" i="7"/>
  <c r="E261" i="7" s="1"/>
  <c r="C261" i="7"/>
  <c r="R238" i="7"/>
  <c r="P238" i="7"/>
  <c r="N239" i="7"/>
  <c r="O239" i="7" s="1"/>
  <c r="O243" i="7" s="1"/>
  <c r="J237" i="7"/>
  <c r="K237" i="7" s="1"/>
  <c r="J235" i="7"/>
  <c r="K235" i="7" s="1"/>
  <c r="J229" i="7"/>
  <c r="K229" i="7" s="1"/>
  <c r="J230" i="7"/>
  <c r="K230" i="7" s="1"/>
  <c r="J228" i="7"/>
  <c r="K228" i="7" s="1"/>
  <c r="J225" i="7"/>
  <c r="K225" i="7" s="1"/>
  <c r="J226" i="7"/>
  <c r="K226" i="7" s="1"/>
  <c r="J224" i="7"/>
  <c r="K224" i="7" s="1"/>
  <c r="K243" i="7" s="1"/>
  <c r="G237" i="7"/>
  <c r="G235" i="7"/>
  <c r="G229" i="7"/>
  <c r="G230" i="7"/>
  <c r="G228" i="7"/>
  <c r="G225" i="7"/>
  <c r="G226" i="7"/>
  <c r="E237" i="7"/>
  <c r="R237" i="7" s="1"/>
  <c r="E235" i="7"/>
  <c r="E229" i="7"/>
  <c r="E230" i="7"/>
  <c r="E228" i="7"/>
  <c r="E225" i="7"/>
  <c r="E226" i="7"/>
  <c r="N216" i="7"/>
  <c r="P216" i="7" s="1"/>
  <c r="J211" i="7"/>
  <c r="K211" i="7" s="1"/>
  <c r="G203" i="7"/>
  <c r="J203" i="7"/>
  <c r="K203" i="7" s="1"/>
  <c r="G204" i="7"/>
  <c r="J204" i="7"/>
  <c r="K204" i="7" s="1"/>
  <c r="J202" i="7"/>
  <c r="K202" i="7" s="1"/>
  <c r="G202" i="7"/>
  <c r="J200" i="7"/>
  <c r="K200" i="7" s="1"/>
  <c r="K221" i="7" s="1"/>
  <c r="E211" i="7"/>
  <c r="E203" i="7"/>
  <c r="E204" i="7"/>
  <c r="E205" i="7"/>
  <c r="E206" i="7"/>
  <c r="E207" i="7"/>
  <c r="E208" i="7"/>
  <c r="E202" i="7"/>
  <c r="R190" i="7"/>
  <c r="N191" i="7"/>
  <c r="P191" i="7" s="1"/>
  <c r="J189" i="7"/>
  <c r="K189" i="7" s="1"/>
  <c r="J186" i="7"/>
  <c r="K186" i="7" s="1"/>
  <c r="J185" i="7"/>
  <c r="K185" i="7" s="1"/>
  <c r="J180" i="7"/>
  <c r="K180" i="7" s="1"/>
  <c r="G189" i="7"/>
  <c r="G186" i="7"/>
  <c r="G185" i="7"/>
  <c r="E189" i="7"/>
  <c r="E186" i="7"/>
  <c r="E185" i="7"/>
  <c r="C195" i="7"/>
  <c r="N169" i="7"/>
  <c r="O169" i="7" s="1"/>
  <c r="O177" i="7" s="1"/>
  <c r="J168" i="7"/>
  <c r="K168" i="7" s="1"/>
  <c r="J164" i="7"/>
  <c r="K164" i="7" s="1"/>
  <c r="J163" i="7"/>
  <c r="K163" i="7" s="1"/>
  <c r="J160" i="7"/>
  <c r="K160" i="7" s="1"/>
  <c r="E168" i="7"/>
  <c r="E164" i="7"/>
  <c r="E163" i="7"/>
  <c r="E177" i="7" s="1"/>
  <c r="R149" i="7"/>
  <c r="R148" i="7"/>
  <c r="P141" i="7"/>
  <c r="P142" i="7"/>
  <c r="P149" i="7"/>
  <c r="P148" i="7"/>
  <c r="J150" i="7"/>
  <c r="K150" i="7" s="1"/>
  <c r="J145" i="7"/>
  <c r="K145" i="7" s="1"/>
  <c r="J146" i="7"/>
  <c r="K146" i="7" s="1"/>
  <c r="J144" i="7"/>
  <c r="K144" i="7" s="1"/>
  <c r="J140" i="7"/>
  <c r="K140" i="7" s="1"/>
  <c r="K155" i="7" s="1"/>
  <c r="N151" i="7"/>
  <c r="P151" i="7" s="1"/>
  <c r="G140" i="7"/>
  <c r="G155" i="7" s="1"/>
  <c r="E150" i="7"/>
  <c r="E145" i="7"/>
  <c r="E146" i="7"/>
  <c r="E144" i="7"/>
  <c r="R132" i="7"/>
  <c r="P132" i="7"/>
  <c r="N133" i="7"/>
  <c r="O133" i="7" s="1"/>
  <c r="O137" i="7" s="1"/>
  <c r="J131" i="7"/>
  <c r="K131" i="7" s="1"/>
  <c r="J127" i="7"/>
  <c r="K127" i="7" s="1"/>
  <c r="J128" i="7"/>
  <c r="K128" i="7" s="1"/>
  <c r="J126" i="7"/>
  <c r="K126" i="7" s="1"/>
  <c r="J124" i="7"/>
  <c r="K124" i="7" s="1"/>
  <c r="J123" i="7"/>
  <c r="K123" i="7" s="1"/>
  <c r="G131" i="7"/>
  <c r="G127" i="7"/>
  <c r="G128" i="7"/>
  <c r="G126" i="7"/>
  <c r="G124" i="7"/>
  <c r="G123" i="7"/>
  <c r="E131" i="7"/>
  <c r="E127" i="7"/>
  <c r="E128" i="7"/>
  <c r="E126" i="7"/>
  <c r="E124" i="7"/>
  <c r="C137" i="7"/>
  <c r="P93" i="7"/>
  <c r="P90" i="7"/>
  <c r="P91" i="7"/>
  <c r="N115" i="7"/>
  <c r="O115" i="7" s="1"/>
  <c r="R115" i="7" s="1"/>
  <c r="J114" i="7"/>
  <c r="K114" i="7" s="1"/>
  <c r="J112" i="7"/>
  <c r="K112" i="7" s="1"/>
  <c r="J108" i="7"/>
  <c r="K108" i="7" s="1"/>
  <c r="J104" i="7"/>
  <c r="K104" i="7" s="1"/>
  <c r="J103" i="7"/>
  <c r="K103" i="7" s="1"/>
  <c r="K119" i="7" s="1"/>
  <c r="G114" i="7"/>
  <c r="G112" i="7"/>
  <c r="E114" i="7"/>
  <c r="E112" i="7"/>
  <c r="E108" i="7"/>
  <c r="E104" i="7"/>
  <c r="R90" i="7"/>
  <c r="R91" i="7"/>
  <c r="R92" i="7"/>
  <c r="R93" i="7"/>
  <c r="P72" i="7"/>
  <c r="P73" i="7"/>
  <c r="P74" i="7"/>
  <c r="P75" i="7"/>
  <c r="N96" i="7"/>
  <c r="O96" i="7" s="1"/>
  <c r="O100" i="7" s="1"/>
  <c r="J95" i="7"/>
  <c r="K95" i="7" s="1"/>
  <c r="J94" i="7"/>
  <c r="K94" i="7" s="1"/>
  <c r="J89" i="7"/>
  <c r="K89" i="7" s="1"/>
  <c r="G95" i="7"/>
  <c r="G94" i="7"/>
  <c r="G100" i="7" s="1"/>
  <c r="E95" i="7"/>
  <c r="E94" i="7"/>
  <c r="C100" i="7"/>
  <c r="J77" i="7"/>
  <c r="K77" i="7" s="1"/>
  <c r="J76" i="7"/>
  <c r="K76" i="7" s="1"/>
  <c r="J71" i="7"/>
  <c r="K71" i="7" s="1"/>
  <c r="G77" i="7"/>
  <c r="G76" i="7"/>
  <c r="P71" i="7"/>
  <c r="E77" i="7"/>
  <c r="E76" i="7"/>
  <c r="E82" i="7" s="1"/>
  <c r="N78" i="7"/>
  <c r="P78" i="7" s="1"/>
  <c r="C82" i="7"/>
  <c r="J62" i="7"/>
  <c r="K62" i="7" s="1"/>
  <c r="J63" i="7"/>
  <c r="K63" i="7" s="1"/>
  <c r="J61" i="7"/>
  <c r="K61" i="7" s="1"/>
  <c r="J58" i="7"/>
  <c r="K58" i="7" s="1"/>
  <c r="J59" i="7"/>
  <c r="K59" i="7" s="1"/>
  <c r="J57" i="7"/>
  <c r="K57" i="7" s="1"/>
  <c r="N64" i="7"/>
  <c r="P64" i="7" s="1"/>
  <c r="G62" i="7"/>
  <c r="G61" i="7"/>
  <c r="G58" i="7"/>
  <c r="G59" i="7"/>
  <c r="E59" i="7"/>
  <c r="C68" i="7"/>
  <c r="E62" i="7"/>
  <c r="E63" i="7"/>
  <c r="E61" i="7"/>
  <c r="E58" i="7"/>
  <c r="K50" i="7"/>
  <c r="R51" i="7"/>
  <c r="T51" i="7" s="1"/>
  <c r="R52" i="7"/>
  <c r="T52" i="7" s="1"/>
  <c r="R53" i="7"/>
  <c r="T53" i="7" s="1"/>
  <c r="P51" i="7"/>
  <c r="P52" i="7"/>
  <c r="P53" i="7"/>
  <c r="N50" i="7"/>
  <c r="O50" i="7" s="1"/>
  <c r="O54" i="7" s="1"/>
  <c r="J49" i="7"/>
  <c r="K49" i="7" s="1"/>
  <c r="J48" i="7"/>
  <c r="K48" i="7" s="1"/>
  <c r="J47" i="7"/>
  <c r="K47" i="7" s="1"/>
  <c r="J43" i="7"/>
  <c r="K43" i="7" s="1"/>
  <c r="G48" i="7"/>
  <c r="G49" i="7"/>
  <c r="G47" i="7"/>
  <c r="G43" i="7"/>
  <c r="E48" i="7"/>
  <c r="E49" i="7"/>
  <c r="E47" i="7"/>
  <c r="E54" i="7" s="1"/>
  <c r="C54" i="7"/>
  <c r="N39" i="7"/>
  <c r="O39" i="7" s="1"/>
  <c r="R39" i="7" s="1"/>
  <c r="T39" i="7" s="1"/>
  <c r="J38" i="7"/>
  <c r="K38" i="7" s="1"/>
  <c r="J35" i="7"/>
  <c r="K35" i="7" s="1"/>
  <c r="J36" i="7"/>
  <c r="J34" i="7"/>
  <c r="K34" i="7" s="1"/>
  <c r="J31" i="7"/>
  <c r="K31" i="7" s="1"/>
  <c r="J32" i="7"/>
  <c r="J30" i="7"/>
  <c r="K30" i="7" s="1"/>
  <c r="J27" i="7"/>
  <c r="J28" i="7"/>
  <c r="J26" i="7"/>
  <c r="K26" i="7" s="1"/>
  <c r="G38" i="7"/>
  <c r="G35" i="7"/>
  <c r="G36" i="7"/>
  <c r="G34" i="7"/>
  <c r="G31" i="7"/>
  <c r="G32" i="7"/>
  <c r="G30" i="7"/>
  <c r="G27" i="7"/>
  <c r="G28" i="7"/>
  <c r="E38" i="7"/>
  <c r="E35" i="7"/>
  <c r="E36" i="7"/>
  <c r="E34" i="7"/>
  <c r="E31" i="7"/>
  <c r="E32" i="7"/>
  <c r="E30" i="7"/>
  <c r="E27" i="7"/>
  <c r="E28" i="7"/>
  <c r="C40" i="7"/>
  <c r="E13" i="7"/>
  <c r="E40" i="7" l="1"/>
  <c r="E68" i="7"/>
  <c r="G243" i="7"/>
  <c r="K100" i="7"/>
  <c r="G119" i="7"/>
  <c r="K195" i="7"/>
  <c r="E155" i="7"/>
  <c r="K177" i="7"/>
  <c r="E221" i="7"/>
  <c r="P63" i="7"/>
  <c r="E243" i="7"/>
  <c r="E195" i="7"/>
  <c r="E100" i="7"/>
  <c r="E119" i="7"/>
  <c r="E137" i="7"/>
  <c r="K1200" i="7"/>
  <c r="P39" i="7"/>
  <c r="P211" i="7"/>
  <c r="P164" i="7"/>
  <c r="P89" i="7"/>
  <c r="P57" i="7"/>
  <c r="G195" i="7"/>
  <c r="G137" i="7"/>
  <c r="G40" i="7"/>
  <c r="G82" i="7"/>
  <c r="G54" i="7"/>
  <c r="R250" i="7"/>
  <c r="R150" i="7"/>
  <c r="R126" i="7"/>
  <c r="R145" i="7"/>
  <c r="P28" i="7"/>
  <c r="P49" i="7"/>
  <c r="R89" i="7"/>
  <c r="P115" i="7"/>
  <c r="O151" i="7"/>
  <c r="R151" i="7" s="1"/>
  <c r="G211" i="7"/>
  <c r="R211" i="7" s="1"/>
  <c r="P235" i="7"/>
  <c r="P169" i="7"/>
  <c r="P252" i="7"/>
  <c r="R38" i="7"/>
  <c r="T38" i="7" s="1"/>
  <c r="R94" i="7"/>
  <c r="P36" i="7"/>
  <c r="P77" i="7"/>
  <c r="R186" i="7"/>
  <c r="R224" i="7"/>
  <c r="R243" i="7" s="1"/>
  <c r="R48" i="7"/>
  <c r="T48" i="7" s="1"/>
  <c r="P59" i="7"/>
  <c r="R114" i="7"/>
  <c r="P94" i="7"/>
  <c r="R133" i="7"/>
  <c r="R163" i="7"/>
  <c r="R239" i="7"/>
  <c r="P27" i="7"/>
  <c r="O64" i="7"/>
  <c r="O68" i="7" s="1"/>
  <c r="O78" i="7"/>
  <c r="R95" i="7"/>
  <c r="P58" i="7"/>
  <c r="P76" i="7"/>
  <c r="R128" i="7"/>
  <c r="P140" i="7"/>
  <c r="R189" i="7"/>
  <c r="P224" i="7"/>
  <c r="P237" i="7"/>
  <c r="G252" i="7"/>
  <c r="G261" i="7" s="1"/>
  <c r="R255" i="7"/>
  <c r="P226" i="7"/>
  <c r="R248" i="7"/>
  <c r="T275" i="7"/>
  <c r="R488" i="7"/>
  <c r="P62" i="7"/>
  <c r="O40" i="7"/>
  <c r="P50" i="7"/>
  <c r="G63" i="7"/>
  <c r="G68" i="7" s="1"/>
  <c r="R76" i="7"/>
  <c r="P61" i="7"/>
  <c r="R96" i="7"/>
  <c r="R108" i="7"/>
  <c r="R127" i="7"/>
  <c r="P133" i="7"/>
  <c r="R123" i="7"/>
  <c r="R144" i="7"/>
  <c r="P150" i="7"/>
  <c r="R168" i="7"/>
  <c r="P32" i="7"/>
  <c r="P35" i="7"/>
  <c r="R47" i="7"/>
  <c r="T47" i="7" s="1"/>
  <c r="R77" i="7"/>
  <c r="R112" i="7"/>
  <c r="P95" i="7"/>
  <c r="R124" i="7"/>
  <c r="R131" i="7"/>
  <c r="R146" i="7"/>
  <c r="R169" i="7"/>
  <c r="R185" i="7"/>
  <c r="P229" i="7"/>
  <c r="R251" i="7"/>
  <c r="R297" i="7"/>
  <c r="T297" i="7" s="1"/>
  <c r="R311" i="7"/>
  <c r="K297" i="7"/>
  <c r="P255" i="7"/>
  <c r="P251" i="7"/>
  <c r="K261" i="7"/>
  <c r="P250" i="7"/>
  <c r="P248" i="7"/>
  <c r="R246" i="7"/>
  <c r="P246" i="7"/>
  <c r="O257" i="7"/>
  <c r="R225" i="7"/>
  <c r="R226" i="7"/>
  <c r="R229" i="7"/>
  <c r="R228" i="7"/>
  <c r="R235" i="7"/>
  <c r="R230" i="7"/>
  <c r="P230" i="7"/>
  <c r="P228" i="7"/>
  <c r="P225" i="7"/>
  <c r="P239" i="7"/>
  <c r="R204" i="7"/>
  <c r="R203" i="7"/>
  <c r="R202" i="7"/>
  <c r="P200" i="7"/>
  <c r="R200" i="7"/>
  <c r="P202" i="7"/>
  <c r="P204" i="7"/>
  <c r="P203" i="7"/>
  <c r="O216" i="7"/>
  <c r="R180" i="7"/>
  <c r="P189" i="7"/>
  <c r="P186" i="7"/>
  <c r="P185" i="7"/>
  <c r="P180" i="7"/>
  <c r="O191" i="7"/>
  <c r="P168" i="7"/>
  <c r="P163" i="7"/>
  <c r="R160" i="7"/>
  <c r="P160" i="7"/>
  <c r="P146" i="7"/>
  <c r="P145" i="7"/>
  <c r="P144" i="7"/>
  <c r="P131" i="7"/>
  <c r="P126" i="7"/>
  <c r="P124" i="7"/>
  <c r="P128" i="7"/>
  <c r="P123" i="7"/>
  <c r="P127" i="7"/>
  <c r="P108" i="7"/>
  <c r="P104" i="7"/>
  <c r="P112" i="7"/>
  <c r="P103" i="7"/>
  <c r="P114" i="7"/>
  <c r="R104" i="7"/>
  <c r="R103" i="7"/>
  <c r="R71" i="7"/>
  <c r="K82" i="7"/>
  <c r="K68" i="7"/>
  <c r="P48" i="7"/>
  <c r="R49" i="7"/>
  <c r="T49" i="7" s="1"/>
  <c r="P47" i="7"/>
  <c r="P43" i="7"/>
  <c r="R50" i="7"/>
  <c r="T50" i="7" s="1"/>
  <c r="R43" i="7"/>
  <c r="T43" i="7" s="1"/>
  <c r="R31" i="7"/>
  <c r="T31" i="7" s="1"/>
  <c r="R34" i="7"/>
  <c r="T34" i="7" s="1"/>
  <c r="R35" i="7"/>
  <c r="T35" i="7" s="1"/>
  <c r="R30" i="7"/>
  <c r="T30" i="7" s="1"/>
  <c r="K28" i="7"/>
  <c r="R28" i="7" s="1"/>
  <c r="T28" i="7" s="1"/>
  <c r="P34" i="7"/>
  <c r="K27" i="7"/>
  <c r="R27" i="7" s="1"/>
  <c r="T27" i="7" s="1"/>
  <c r="K32" i="7"/>
  <c r="R32" i="7" s="1"/>
  <c r="T32" i="7" s="1"/>
  <c r="P38" i="7"/>
  <c r="K36" i="7"/>
  <c r="R36" i="7" s="1"/>
  <c r="T36" i="7" s="1"/>
  <c r="P31" i="7"/>
  <c r="P30" i="7"/>
  <c r="P26" i="7"/>
  <c r="R26" i="7"/>
  <c r="T26" i="7" s="1"/>
  <c r="G8" i="7"/>
  <c r="R100" i="7" l="1"/>
  <c r="R191" i="7"/>
  <c r="O195" i="7"/>
  <c r="R119" i="7"/>
  <c r="O155" i="7"/>
  <c r="G221" i="7"/>
  <c r="R252" i="7"/>
  <c r="R164" i="7"/>
  <c r="R177" i="7" s="1"/>
  <c r="T177" i="7" s="1"/>
  <c r="T119" i="7"/>
  <c r="K137" i="7"/>
  <c r="T311" i="7"/>
  <c r="T1200" i="7"/>
  <c r="R195" i="7"/>
  <c r="T195" i="7" s="1"/>
  <c r="R1200" i="7"/>
  <c r="R68" i="7"/>
  <c r="T68" i="7" s="1"/>
  <c r="R137" i="7"/>
  <c r="T137" i="7" s="1"/>
  <c r="T243" i="7"/>
  <c r="O221" i="7"/>
  <c r="R216" i="7"/>
  <c r="T100" i="7"/>
  <c r="O82" i="7"/>
  <c r="R78" i="7"/>
  <c r="R82" i="7" s="1"/>
  <c r="T82" i="7" s="1"/>
  <c r="R257" i="7"/>
  <c r="O261" i="7"/>
  <c r="R140" i="7"/>
  <c r="K54" i="7"/>
  <c r="K40" i="7"/>
  <c r="T17" i="7"/>
  <c r="T18" i="7"/>
  <c r="T16" i="7"/>
  <c r="N19" i="7"/>
  <c r="P19" i="7" s="1"/>
  <c r="T155" i="7" l="1"/>
  <c r="R155" i="7"/>
  <c r="R221" i="7"/>
  <c r="T221" i="7" s="1"/>
  <c r="R261" i="7"/>
  <c r="T261" i="7" s="1"/>
  <c r="R54" i="7"/>
  <c r="T54" i="7" s="1"/>
  <c r="R40" i="7"/>
  <c r="T40" i="7" s="1"/>
  <c r="O19" i="7"/>
  <c r="O23" i="7" s="1"/>
  <c r="O312" i="7" s="1"/>
  <c r="O1201" i="7" l="1"/>
  <c r="R19" i="7"/>
  <c r="T19" i="7" s="1"/>
  <c r="J13" i="7"/>
  <c r="P13" i="7" s="1"/>
  <c r="J14" i="7"/>
  <c r="J12" i="7"/>
  <c r="P12" i="7" s="1"/>
  <c r="J9" i="7"/>
  <c r="P9" i="7" s="1"/>
  <c r="J10" i="7"/>
  <c r="P10" i="7" s="1"/>
  <c r="J8" i="7"/>
  <c r="K8" i="7" s="1"/>
  <c r="P14" i="7" l="1"/>
  <c r="P8" i="7"/>
  <c r="K13" i="7"/>
  <c r="K12" i="7"/>
  <c r="K9" i="7"/>
  <c r="R9" i="7" s="1"/>
  <c r="K10" i="7"/>
  <c r="G14" i="7"/>
  <c r="G13" i="7"/>
  <c r="R13" i="7" s="1"/>
  <c r="G12" i="7"/>
  <c r="G10" i="7"/>
  <c r="G23" i="7" s="1"/>
  <c r="E14" i="7"/>
  <c r="R14" i="7" s="1"/>
  <c r="R23" i="7" s="1"/>
  <c r="T23" i="7" s="1"/>
  <c r="T312" i="7" s="1"/>
  <c r="E12" i="7"/>
  <c r="R12" i="7" s="1"/>
  <c r="E10" i="7"/>
  <c r="C23" i="7"/>
  <c r="C312" i="7" s="1"/>
  <c r="C1201" i="7" s="1"/>
  <c r="R10" i="7" l="1"/>
  <c r="E23" i="7"/>
  <c r="K23" i="7"/>
  <c r="G312" i="7"/>
  <c r="G1201" i="7" s="1"/>
  <c r="E312" i="7"/>
  <c r="E1201" i="7" s="1"/>
  <c r="T14" i="7"/>
  <c r="T9" i="7"/>
  <c r="T13" i="7"/>
  <c r="T12" i="7"/>
  <c r="T10" i="7"/>
  <c r="R8" i="7"/>
  <c r="T8" i="7" s="1"/>
  <c r="K312" i="7"/>
  <c r="K1201" i="7" s="1"/>
  <c r="R312" i="7" l="1"/>
  <c r="R1201" i="7" s="1"/>
  <c r="T1201" i="7" l="1"/>
</calcChain>
</file>

<file path=xl/sharedStrings.xml><?xml version="1.0" encoding="utf-8"?>
<sst xmlns="http://schemas.openxmlformats.org/spreadsheetml/2006/main" count="2744" uniqueCount="345">
  <si>
    <t>№ п/п</t>
  </si>
  <si>
    <t>Наименование муниципальных учреждений/ наименование муниципальных услуг(работ)</t>
  </si>
  <si>
    <t>Норматив №1</t>
  </si>
  <si>
    <t>Норматив №2</t>
  </si>
  <si>
    <t>Норматив №3</t>
  </si>
  <si>
    <t>Расходы на уплату имущест-венных налогов</t>
  </si>
  <si>
    <t>1.</t>
  </si>
  <si>
    <t>МАДОУ №2 "Дельфин"</t>
  </si>
  <si>
    <t>1.1.</t>
  </si>
  <si>
    <t>Реализация основных общеобразовательных программ дошкольного образования (образовательные программы общего образования)</t>
  </si>
  <si>
    <t>1.2.</t>
  </si>
  <si>
    <t>Реализация основных общеобразовательных программ дошкольного образования (адаптированная образовательная программа)</t>
  </si>
  <si>
    <t>1.3.</t>
  </si>
  <si>
    <t>Присмотр и уход</t>
  </si>
  <si>
    <t>……</t>
  </si>
  <si>
    <t>2.1.</t>
  </si>
  <si>
    <t>Всего, в том числе по видам оказываемых услуг:</t>
  </si>
  <si>
    <t>…..</t>
  </si>
  <si>
    <t>Приложение 1</t>
  </si>
  <si>
    <t>в рублях</t>
  </si>
  <si>
    <t>норматив  по оплате труда пед.персонала (РБ)</t>
  </si>
  <si>
    <t xml:space="preserve">Сумма расходов по нормативу </t>
  </si>
  <si>
    <t>норматив по оплате труда адм. и вспом. персонала (РБ)</t>
  </si>
  <si>
    <t>Сумма расходов по нормативу</t>
  </si>
  <si>
    <t>Норматив  на общехозяйственные расходы</t>
  </si>
  <si>
    <t xml:space="preserve">сумма расходов по нормативу </t>
  </si>
  <si>
    <t>Итого субсидия на выполнение муниципального задания</t>
  </si>
  <si>
    <t>от 1,5 до 3 лет</t>
  </si>
  <si>
    <t>от 3 до 5 лет</t>
  </si>
  <si>
    <t>от 5 до 7 лет</t>
  </si>
  <si>
    <t>Реализация основных общеобразовательных программ дошкольного образования (образовательные программы общего образования)- семейное образование</t>
  </si>
  <si>
    <t>МАДОУ №3 "Мечта"</t>
  </si>
  <si>
    <t>МАДОУ №7 "Кристаллик"</t>
  </si>
  <si>
    <t>МАДОУ №8 "Тополек"</t>
  </si>
  <si>
    <t>МАДОУ №9 "Березка"</t>
  </si>
  <si>
    <t>МАДОУ №10 "Василек"</t>
  </si>
  <si>
    <t>МАДОУ №11 "Ромашка"</t>
  </si>
  <si>
    <t>МАДОУ №12 "Малышок"</t>
  </si>
  <si>
    <t>МАДОУ №15 "Гузель"</t>
  </si>
  <si>
    <t>МАДОУ №17 "Шатлык"</t>
  </si>
  <si>
    <t>МАДОУ №19 "Сулпан"</t>
  </si>
  <si>
    <t>МАДОУ №21 "Золушка"</t>
  </si>
  <si>
    <t>МАДОУ №22 "Лесная сказка"</t>
  </si>
  <si>
    <t>МАДОУ №24 "Теремок"</t>
  </si>
  <si>
    <t>Реализация основных общеобразовательных программ дошкольного образования (образовательные программы общего образования)- очная 12ч</t>
  </si>
  <si>
    <t>Реализация основных общеобразовательных программ дошкольного образования (образовательные программы общего образования)- очная 10,5ч</t>
  </si>
  <si>
    <t>Итого нормативы на выполнение муниципаль-ного задания</t>
  </si>
  <si>
    <t>Реализация основных общеобразовательных программ дошкольного образования (образовательные программы общего образования)- очная 12 ч</t>
  </si>
  <si>
    <t>Реализация основных общеобразовательных программ дошкольного образования (образовательные программы общего образования)- очная 10,5 ч</t>
  </si>
  <si>
    <t>Реализация основных общеобразовательных программ дошкольного образования (адаптированная образовательная программа )- очная для  слабовидящих детей  , детей с амблиопией, косоглазием 10,5ч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</si>
  <si>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тяжелым нарушением речи 8- 10ч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</si>
  <si>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задержкой психического развития 8- 10ч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</si>
  <si>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со сложными дефектами от 3 до 5 ч</t>
  </si>
  <si>
    <t>1.4.</t>
  </si>
  <si>
    <t>Реализация основных общеобразовательных программ дошкольного образования (образовательные программы общего образования)- очная 10,5ч одновозрастные 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</si>
  <si>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9ч разновозрастные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</si>
  <si>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10,5ч разновозрастные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</si>
  <si>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разновозрастные группы с кратковременным пребыванием 3-5 ч</t>
  </si>
  <si>
    <t>Реализация основных общеобразовательных программ дошкольного образования (образовательные программы общего образования)- очная разновозрастные группы с кратковременным пребыванием 3 ч</t>
  </si>
  <si>
    <t>2.2.</t>
  </si>
  <si>
    <t>2.3.</t>
  </si>
  <si>
    <t>2.4.</t>
  </si>
  <si>
    <t>2.5.</t>
  </si>
  <si>
    <t>2.6.</t>
  </si>
  <si>
    <t>2.7.</t>
  </si>
  <si>
    <t>Реализация основных общеобразовательных программ дошкольного образования (образовательные программы общего образования)- очная с круглосуточным пребыванием 24ч</t>
  </si>
  <si>
    <t>Реализация основных общеобразовательных программ дошкольного образования (образовательные программы общего образования)- очная  с кратковременным пребыванием 3ч</t>
  </si>
  <si>
    <t>Реализация основных общеобразовательных программ дошкольного образования (образовательные программы общего образования)- очная  оздоровительной направленности 10,5ч</t>
  </si>
  <si>
    <t>Реализация основных общеобразовательных программ дошкольного образования (образовательные программы общего образования)- очная 8-10 ч разновозрастные группы</t>
  </si>
  <si>
    <t>проверочная строка</t>
  </si>
  <si>
    <t>1.ДОУ с.Первомайский"Солнышко" 9 ч.</t>
  </si>
  <si>
    <t>ДОУ с.Воскресенское"Тополек"(филиал)</t>
  </si>
  <si>
    <t>ВСЕГО ДОУ Первомайский" Солнышко"</t>
  </si>
  <si>
    <t>ДОУ с. Зирган" Солнышко"</t>
  </si>
  <si>
    <t>ВСЕГО ДОУ с. Зирган" Солнышко"</t>
  </si>
  <si>
    <t>3.ДОУ с.Зирган"Колосок"</t>
  </si>
  <si>
    <t>4.ДОУ п.Нугуш"Тополек"</t>
  </si>
  <si>
    <t>ДОУ д.Малошарипово"Буратино"(филиал)</t>
  </si>
  <si>
    <t xml:space="preserve"> ВСЕГО ДОУ п.Нугуш"Тополек"</t>
  </si>
  <si>
    <t>6.ДОУ д.Кутушево"Рябинка"</t>
  </si>
  <si>
    <t>6.ВСЕГО ДОУ д.Кутушево"Рябинка"</t>
  </si>
  <si>
    <t>7.ДОУ д.Саитовский</t>
  </si>
  <si>
    <t>7. ВСЕГО ДОУ д.Саитовский</t>
  </si>
  <si>
    <t>ДОУ д.Аптраково(МОБУ СОШ д.Сарышево)</t>
  </si>
  <si>
    <t>ДОУ д.Петропавловка(МОБУ СОШ д.Саитовский)</t>
  </si>
  <si>
    <t xml:space="preserve">ДОУ д.Корнеевка"Василек"(МОБУ СОШ д.Корнеевка) </t>
  </si>
  <si>
    <t>ДОУ с.Нордовка"Солнышко" (МОБУ СОШ д.Нордовка)</t>
  </si>
  <si>
    <t xml:space="preserve"> Всего ДОУ с.Нордовка"Солнышко" (МОБУ СОШ д.Нордовка)</t>
  </si>
  <si>
    <t>Всего ДОУ Село</t>
  </si>
  <si>
    <t>Всего сады</t>
  </si>
  <si>
    <t>Структурные подразделения</t>
  </si>
  <si>
    <t>очная  по ФГОС</t>
  </si>
  <si>
    <t>на дому по ФГОС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</si>
  <si>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</si>
  <si>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</si>
  <si>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</si>
  <si>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</si>
  <si>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</si>
  <si>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</si>
  <si>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</si>
  <si>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</si>
  <si>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</si>
  <si>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</si>
  <si>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</si>
  <si>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</si>
  <si>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</si>
  <si>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</si>
  <si>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</si>
  <si>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</si>
  <si>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</si>
  <si>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</si>
  <si>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</si>
  <si>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</si>
  <si>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</si>
  <si>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</si>
  <si>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9.1.</t>
  </si>
  <si>
    <t>9.2.</t>
  </si>
  <si>
    <t>9.3.</t>
  </si>
  <si>
    <t>9.4.</t>
  </si>
  <si>
    <t>10.1.</t>
  </si>
  <si>
    <t>10.2.</t>
  </si>
  <si>
    <t>10.3.</t>
  </si>
  <si>
    <t>10.4.</t>
  </si>
  <si>
    <t>10.5.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</si>
  <si>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</si>
  <si>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</si>
  <si>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</si>
  <si>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</si>
  <si>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</si>
  <si>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</si>
  <si>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</si>
  <si>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</si>
  <si>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</si>
  <si>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</si>
  <si>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</si>
  <si>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</si>
  <si>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</si>
  <si>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14.1.</t>
  </si>
  <si>
    <t>14.2.</t>
  </si>
  <si>
    <t>14.3.</t>
  </si>
  <si>
    <t>14.4.</t>
  </si>
  <si>
    <t>15.1.</t>
  </si>
  <si>
    <t>15.2.</t>
  </si>
  <si>
    <t>15.3.</t>
  </si>
  <si>
    <t>16.1.</t>
  </si>
  <si>
    <t>16.2.</t>
  </si>
  <si>
    <t>16.3.</t>
  </si>
  <si>
    <t>16.4.</t>
  </si>
  <si>
    <t>16.5.</t>
  </si>
  <si>
    <t>17.1.</t>
  </si>
  <si>
    <t>17.2.</t>
  </si>
  <si>
    <t>17.3.</t>
  </si>
  <si>
    <t>18.1.</t>
  </si>
  <si>
    <t>Образовательная программа среднего общего образования, обеспечивающая углубленное изучение отдельных учебных предметов, предметных областей( профильное обучение)</t>
  </si>
  <si>
    <t xml:space="preserve">Реализация основных общеобразовательных программ начального общего образования                           </t>
  </si>
  <si>
    <t>Реализация основных общеобразовательных программ начального общего образования                                                           ( адаптированная образовательная программа начального общего образования )</t>
  </si>
  <si>
    <t>очная  по ГОС</t>
  </si>
  <si>
    <t>на дому по ГОС</t>
  </si>
  <si>
    <t xml:space="preserve">Реализация основных общеобразовательных программ начального общего образования   ( содержание детей)               </t>
  </si>
  <si>
    <t xml:space="preserve">Школы город основное общее образование </t>
  </si>
  <si>
    <t xml:space="preserve">Реализация основных общеобразовательных программ основного общего образования                           </t>
  </si>
  <si>
    <t>Реализация основных общеобразовательных программ основного общего образования                                                           ( адаптированная образовательная программа основного общего образования )</t>
  </si>
  <si>
    <t xml:space="preserve">Реализация основных общеобразовательных программ основного общего образования   ( содержание   детей)   очная          </t>
  </si>
  <si>
    <t>Образовательная программа основного общего образования, обеспечивающая углубленное изучение отдельных учебных предметов, предметных областей( профильное обучение)</t>
  </si>
  <si>
    <t>2.</t>
  </si>
  <si>
    <t xml:space="preserve">Школы город среднее общее образование </t>
  </si>
  <si>
    <t xml:space="preserve">Реализация основных общеобразовательных программ среднего общего образования                           </t>
  </si>
  <si>
    <t>Реализация основных общеобразовательных программ среднего общего образования                                                              ( адаптированная образовательная программа среднего общего образования )</t>
  </si>
  <si>
    <t xml:space="preserve">Реализация основных общеобразовательных программ среднего общего образования   ( содержание   детей)   очная          </t>
  </si>
  <si>
    <t>3.4.</t>
  </si>
  <si>
    <t xml:space="preserve">Школы село среднее общее образование </t>
  </si>
  <si>
    <t>Школы село начальное образование</t>
  </si>
  <si>
    <t>4.</t>
  </si>
  <si>
    <t xml:space="preserve">Реализация основных общеобразовательных программ начального общего образования ( в филиалах школ)                     </t>
  </si>
  <si>
    <t xml:space="preserve">Школы село основное общее образование </t>
  </si>
  <si>
    <t xml:space="preserve">Реализация основных общеобразовательных программ основного общего образования ( в филиалах школ)                     </t>
  </si>
  <si>
    <t>МОБУ СОШ №1</t>
  </si>
  <si>
    <t xml:space="preserve"> Всего МОБУ СОШ №1</t>
  </si>
  <si>
    <t xml:space="preserve">МОБУ СОШ №4 </t>
  </si>
  <si>
    <t xml:space="preserve"> Всего МОБУ СОШ №4 </t>
  </si>
  <si>
    <t>МОБУ СОШ №5</t>
  </si>
  <si>
    <t xml:space="preserve"> Всего МОБУ СОШ №5</t>
  </si>
  <si>
    <t>МОБУ ООШ №7</t>
  </si>
  <si>
    <t xml:space="preserve"> Всего МОБУ ООШ №7</t>
  </si>
  <si>
    <t>МОБУ Гимназия №1</t>
  </si>
  <si>
    <t>Всего МОБУ Гимназия №1</t>
  </si>
  <si>
    <t>МОБУ СОШ №8</t>
  </si>
  <si>
    <t>Всего МОБУ СОШ №8</t>
  </si>
  <si>
    <t>МОБУ Гимназия №3</t>
  </si>
  <si>
    <t>Всего МОБУ Гимназия №3</t>
  </si>
  <si>
    <t>Башкирская гимназия №9</t>
  </si>
  <si>
    <t>Всего Башкирская гимназия №9</t>
  </si>
  <si>
    <t>МОБУ Лицей №6</t>
  </si>
  <si>
    <t xml:space="preserve"> Всего МОБУ Лицей №6</t>
  </si>
  <si>
    <t>итого город</t>
  </si>
  <si>
    <t>МОБУ СОШ  с.Воскресенское</t>
  </si>
  <si>
    <t xml:space="preserve"> Всего МОБУ СОШ  с.Воскресенское</t>
  </si>
  <si>
    <t>МОБУ СОШ с.Восточный</t>
  </si>
  <si>
    <t>Всего МОБУ СОШ с.Восточный</t>
  </si>
  <si>
    <t>МОБУ СОШ с.Дарьино</t>
  </si>
  <si>
    <t xml:space="preserve"> Всего МОБУ СОШ с.Дарьино</t>
  </si>
  <si>
    <t xml:space="preserve"> Всего МОБУ СОШ  с.Зирган</t>
  </si>
  <si>
    <t>МОБУ СОШ с.Корнеевка</t>
  </si>
  <si>
    <t xml:space="preserve"> всего МОБУ СОШ с.Корнеевка</t>
  </si>
  <si>
    <t>МОБУ СОШ с.Нордовка</t>
  </si>
  <si>
    <t xml:space="preserve"> всего МОБУ СОШ с.Нордовка</t>
  </si>
  <si>
    <t>МОБУ СОШ с.Нугуш</t>
  </si>
  <si>
    <t xml:space="preserve"> Всего МОБУ СОШ с.Нугуш</t>
  </si>
  <si>
    <t>МОБУ СОШ с.Первомайская</t>
  </si>
  <si>
    <t xml:space="preserve"> Всего МОБУ СОШ с.Первомайская</t>
  </si>
  <si>
    <t>МОБУ СОШ с.Сарышево</t>
  </si>
  <si>
    <t>МАДОУ №16 "Рябика"</t>
  </si>
  <si>
    <t>Всего МОБУ СОШ с.Сарышево</t>
  </si>
  <si>
    <t>МОБУ СОШ с.Смаково</t>
  </si>
  <si>
    <t xml:space="preserve"> всего МОБУ СОШ с.Смаково</t>
  </si>
  <si>
    <t>МОБУ СОШ д.Саитовский</t>
  </si>
  <si>
    <t xml:space="preserve">итого  село </t>
  </si>
  <si>
    <t>итого  школы город+село</t>
  </si>
  <si>
    <t xml:space="preserve"> Всего  МОБУ СОШ д.Саитовский</t>
  </si>
  <si>
    <t xml:space="preserve"> Всего школы город</t>
  </si>
  <si>
    <t>итого село</t>
  </si>
  <si>
    <t>4.4.</t>
  </si>
  <si>
    <t>5.</t>
  </si>
  <si>
    <t>5.4.</t>
  </si>
  <si>
    <t>6.4.</t>
  </si>
  <si>
    <t>15.4.</t>
  </si>
  <si>
    <t xml:space="preserve">Реализация основных общеобразовательных программ начального общего образования (образовательная программа начального общего образования)                 </t>
  </si>
  <si>
    <t xml:space="preserve">Реализация основных общеобразовательных программ основного общего образования ( образовательная программа основного общего образования)                 </t>
  </si>
  <si>
    <t xml:space="preserve">Реализация основных общеобразовательных программ среднего общего образования  (образовательная программа среднего общего образования)                    </t>
  </si>
  <si>
    <t>2.8.</t>
  </si>
  <si>
    <t>проверочная гр</t>
  </si>
  <si>
    <t>(филиалы)</t>
  </si>
  <si>
    <t>(филиал)</t>
  </si>
  <si>
    <t>филиалы</t>
  </si>
  <si>
    <t>Реализация основных общеобразовательных программ дошкольного образования (образовательные программы общего образования)- очная 10,5ч разновозрастные  группы</t>
  </si>
  <si>
    <t>филиал</t>
  </si>
  <si>
    <t>филиал(МОБУ СОШ д.Нордовка)</t>
  </si>
  <si>
    <t>18.2.</t>
  </si>
  <si>
    <t>19.1.</t>
  </si>
  <si>
    <t>19.2.</t>
  </si>
  <si>
    <t>20.1.</t>
  </si>
  <si>
    <t>21.1.</t>
  </si>
  <si>
    <t>21.2.</t>
  </si>
  <si>
    <t>21.3.</t>
  </si>
  <si>
    <t>24.1.</t>
  </si>
  <si>
    <t>24.2.</t>
  </si>
  <si>
    <t>25.1.</t>
  </si>
  <si>
    <t>25.2.</t>
  </si>
  <si>
    <t>26.1.</t>
  </si>
  <si>
    <t>27.1.</t>
  </si>
  <si>
    <t>28.1.</t>
  </si>
  <si>
    <t>28.2.</t>
  </si>
  <si>
    <t>28.3.</t>
  </si>
  <si>
    <t>28.4.</t>
  </si>
  <si>
    <t xml:space="preserve">Реализация основных общеобразовательных программ основного общего образования                                                          </t>
  </si>
  <si>
    <t xml:space="preserve">Реализация основных общеобразовательных программ основного общего образования   ( образовательная программа основного общего образования)                        </t>
  </si>
  <si>
    <t>Детско- юношеская  спортивная школа</t>
  </si>
  <si>
    <t>а) 1-ый год обучения</t>
  </si>
  <si>
    <t>б) 2-ой год обучения</t>
  </si>
  <si>
    <t xml:space="preserve">в) 3-ий год обучения </t>
  </si>
  <si>
    <t>Станция юных техников</t>
  </si>
  <si>
    <t>Детский экологический центр</t>
  </si>
  <si>
    <t>Детско- юношеская  спортивная школа с. Зирган</t>
  </si>
  <si>
    <t>Дворец детско- юношеского творчества</t>
  </si>
  <si>
    <t>Центр развития  творчества детей и юношества им. Яковлева</t>
  </si>
  <si>
    <t>Итого  по доп. образованию</t>
  </si>
  <si>
    <t>Итого нормативы</t>
  </si>
  <si>
    <t xml:space="preserve">Реализация основных общеобразовательных программ начального общего образования   ( содержание   детей)   очная          </t>
  </si>
  <si>
    <t>Итого нормативные расходы на выполнение муниципаль-ного задания</t>
  </si>
  <si>
    <t>село</t>
  </si>
  <si>
    <t>МАДОУ №25 "Чайка"</t>
  </si>
  <si>
    <t xml:space="preserve">Реализация основных общеобразовательных программ дошкольного образования (адаптированная образовательная программа )- очная с фонетико- фонематическими нарушениями речи 10,5ч </t>
  </si>
  <si>
    <t xml:space="preserve">Реализация основных общеобразовательных программ дошкольного образования (адаптированная образовательная программа )- очная с фонетико- фонематическими нарушениями речи 10 ч </t>
  </si>
  <si>
    <t>ДОУ д.Александровка"Солнышко" (МОБУ СОШ д.Восточной)</t>
  </si>
  <si>
    <t xml:space="preserve"> Всего ДОУ д.Александровка"Солнышко" (МОБУ СОШ д.Восточной)</t>
  </si>
  <si>
    <t xml:space="preserve">ДОУ д.Тамьян"Дружба" </t>
  </si>
  <si>
    <t xml:space="preserve">ВСЕГО  ДОУ д.Тамьян"Дружба" </t>
  </si>
  <si>
    <t>Норматив № 3</t>
  </si>
  <si>
    <t>поправочный коэф-т на норматив   общехозяйственные расходы</t>
  </si>
  <si>
    <t>Норматив № 3  с учетом поправочного коэффициента</t>
  </si>
  <si>
    <t xml:space="preserve">очная  </t>
  </si>
  <si>
    <t xml:space="preserve">проходящие обучение по состояния здоровья на дому </t>
  </si>
  <si>
    <t>МАДОУ №23 "Росинка"</t>
  </si>
  <si>
    <t>Норматив № 4 присмотр и уход</t>
  </si>
  <si>
    <t>Норматив  присмотр и уход</t>
  </si>
  <si>
    <t xml:space="preserve">норматив  по оплате труда пед.персонала </t>
  </si>
  <si>
    <t xml:space="preserve">Норматив  по оплате труда прочего персонала </t>
  </si>
  <si>
    <t>от 1 до 3 лет</t>
  </si>
  <si>
    <t xml:space="preserve">от 5 </t>
  </si>
  <si>
    <t>от 5 лет</t>
  </si>
  <si>
    <t>очная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</si>
  <si>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нарушением опорно- двигательного аппарата  от 3 до 5 ч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</si>
  <si>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задержкой психического развития легкой степенит 10,5 часов</t>
  </si>
  <si>
    <t>от 5  до 7лет</t>
  </si>
  <si>
    <t xml:space="preserve">Реализация основных общеобразовательных программ дошкольного образования (адаптированная образовательная программа )- очная с туберкулезной интоксикацией 10,5ч </t>
  </si>
  <si>
    <t>Реализация основных общеобразовательных программ дошкольного образования (образовательные программы общего образования)- очная  с круглосуточным пребыванием  24 ч</t>
  </si>
  <si>
    <t>13.5.</t>
  </si>
  <si>
    <t>Реализация основных общеобразовательных программ дошкольного образования (образовательные программы общего образования)- очная 10,5ч одновозрастные группы</t>
  </si>
  <si>
    <t>Реализация основных общеобразовательных программ дошкольного образования (образовательные программы общего образования)- очная  с кратковременным пребыванием 3-5ч</t>
  </si>
  <si>
    <t xml:space="preserve">МОБУ СОШ  с.Зирган </t>
  </si>
  <si>
    <t>Норматив № 4 с учетом поправочного коэффициента</t>
  </si>
  <si>
    <t>Норматив  на присмотр и уход</t>
  </si>
  <si>
    <t>поправочный коэф-т на присмотр и уход</t>
  </si>
  <si>
    <t xml:space="preserve">проходящие обучение по состоянию здоровья на дому </t>
  </si>
  <si>
    <t xml:space="preserve"> </t>
  </si>
  <si>
    <t xml:space="preserve">на дому </t>
  </si>
  <si>
    <t>Образовательная программа основного общего образования</t>
  </si>
  <si>
    <t>Образовательная программа среднего общего образования</t>
  </si>
  <si>
    <t xml:space="preserve">проходящие обучение по состояния здоровью на дому </t>
  </si>
  <si>
    <t>дети с ОВЗ</t>
  </si>
  <si>
    <t>Образовательная программа начального  общего образования</t>
  </si>
  <si>
    <t>на дому</t>
  </si>
  <si>
    <t>Реализация основных общеобразовательных программ дошкольного образования (образовательные программы общего образования)- очная 10,5ч разновозрастные группы  группы</t>
  </si>
  <si>
    <t xml:space="preserve"> филиалРеализация основных общеобразовательных программ дошкольного образования (образовательные программы общего образования)- очная 10,5ч разновозрастные группы</t>
  </si>
  <si>
    <t>Итого нормативные расходы на выполнение муниципального задания</t>
  </si>
  <si>
    <t>Итого</t>
  </si>
  <si>
    <t>старше 3 лет</t>
  </si>
  <si>
    <t xml:space="preserve">Реализация основных общеобразовательных программ дошкольного образования (адаптированная образовательная программа )- с тяжелым нарушениями речи 8-10 ч </t>
  </si>
  <si>
    <t>от  5 лет</t>
  </si>
  <si>
    <t xml:space="preserve">Реализация основных общеобразовательных программ дошкольного образования (адаптированная образовательная программа )- с тяжелыми нарушениями речи 8-10 ч </t>
  </si>
  <si>
    <t xml:space="preserve">Реализация основных общеобразовательных программ дошкольного образования (адаптированная образовательная программа )- с тяжелыми нарушениями речи 10,5 ч </t>
  </si>
  <si>
    <t>ВСЕГО ДОУ с. Зирган" Колосок"</t>
  </si>
  <si>
    <t>8. ВСЕГО ДОУ д.Аптраково</t>
  </si>
  <si>
    <t xml:space="preserve">Всего ДОУ д.Корнеевка"Василек"(МОБУ СОШ д.Корнеевка) </t>
  </si>
  <si>
    <t>Реализация основных общеобразовательных программ дошкольного образования (адаптированная образовательная программа )- очная для  детей  с расстройствами аутического спектра 10,5 ч</t>
  </si>
  <si>
    <t>Реализация дополнительных общеобразовательных  общеразвивающих  программ по направлению физкультурно-спортивной деятельности</t>
  </si>
  <si>
    <t>Реализация дополнительных общеобразовательных  общеразвивающих  программ по направлению художественной  деятельности</t>
  </si>
  <si>
    <t>Реализация дополнительных общеобразовательных  общеразвивающих  программ по направлению естественно-научной   деятельности</t>
  </si>
  <si>
    <t xml:space="preserve">ВСЕГО  ДДЮТ </t>
  </si>
  <si>
    <t>Реализация дополнительных общеобразовательных  общеразвивающих  программ по направлению технической деятельности</t>
  </si>
  <si>
    <t>Реализация дополнительных общеобразовательных  общеразвивающих  программ по направлению  туристко-краеведческой  деятельности</t>
  </si>
  <si>
    <t>Реализация дополнительных общеобразовательных  общеразвивающих  программ по направлению  естественно-научной  деятельности</t>
  </si>
  <si>
    <t xml:space="preserve">ВСЕГО  ДЭЦ </t>
  </si>
  <si>
    <t>Реализация дополнительных общеобразовательных  общеразвивающих  программ по направлению социально-педагогической  деятельности</t>
  </si>
  <si>
    <t>ВСЕГО  ЦРДЮТ</t>
  </si>
  <si>
    <t>Итого город</t>
  </si>
  <si>
    <t>Количество получателей услуг (работ) на 2022 год</t>
  </si>
  <si>
    <t>Реализация основных общеобразовательных программ начального общего образования                                                           ( адаптированная образовательная программа основного общего образования )</t>
  </si>
  <si>
    <t xml:space="preserve">Реализация основных общеобразовательных программ среднего общего образования  (образовательная программа среднего общего образования)      профильное обучение              </t>
  </si>
  <si>
    <t>очная  (профильное обучение)</t>
  </si>
  <si>
    <t>Свод муниципальных заданий на 2022 год по муниципальным общеобразовательным  учреждениям муниципального района Мелеузовский район Республики Башкортостан</t>
  </si>
  <si>
    <t>Свод  муниципальных заданий на 2022 год по муниципальным дошкольным образовательным   учреждениям муниципального района Мелеузовский район Республики Башкортостан</t>
  </si>
  <si>
    <t>Свод муниципальных заданий на 2022 год по муниципальным учреждениям дополнительного образования  муниципального района Мелеузовский район Республики Башкортостан</t>
  </si>
  <si>
    <t>Реализация основных общеобразовательных программ дошкольного образования (образовательные программы общего образования)- очная 10,5 ч разновозрастные группы</t>
  </si>
  <si>
    <t>Количество человеко-часов в муниципальном задании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</si>
</sst>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8"/>
      <name val="Arial"/>
      <family val="2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color rgb="FF00206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7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" fillId="2" borderId="0" xfId="0" applyFont="1" applyFill="1"/>
    <xf numFmtId="0" fontId="8" fillId="2" borderId="2" xfId="0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3" fillId="0" borderId="4" xfId="0" applyFont="1" applyBorder="1"/>
    <xf numFmtId="0" fontId="8" fillId="2" borderId="4" xfId="0" applyFont="1" applyFill="1" applyBorder="1" applyAlignment="1">
      <alignment horizontal="left"/>
    </xf>
    <xf numFmtId="0" fontId="1" fillId="2" borderId="1" xfId="0" applyFont="1" applyFill="1" applyBorder="1"/>
    <xf numFmtId="0" fontId="8" fillId="3" borderId="1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4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3" fontId="1" fillId="0" borderId="1" xfId="0" applyNumberFormat="1" applyFont="1" applyBorder="1"/>
    <xf numFmtId="3" fontId="3" fillId="0" borderId="1" xfId="0" applyNumberFormat="1" applyFont="1" applyBorder="1"/>
    <xf numFmtId="3" fontId="1" fillId="2" borderId="0" xfId="0" applyNumberFormat="1" applyFont="1" applyFill="1"/>
    <xf numFmtId="3" fontId="1" fillId="0" borderId="2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 applyAlignment="1">
      <alignment vertical="top" wrapText="1"/>
    </xf>
    <xf numFmtId="3" fontId="3" fillId="0" borderId="4" xfId="0" applyNumberFormat="1" applyFont="1" applyBorder="1"/>
    <xf numFmtId="3" fontId="1" fillId="0" borderId="0" xfId="0" applyNumberFormat="1" applyFont="1"/>
    <xf numFmtId="165" fontId="1" fillId="0" borderId="1" xfId="0" applyNumberFormat="1" applyFont="1" applyBorder="1"/>
    <xf numFmtId="3" fontId="3" fillId="0" borderId="0" xfId="0" applyNumberFormat="1" applyFont="1"/>
    <xf numFmtId="4" fontId="1" fillId="0" borderId="1" xfId="0" applyNumberFormat="1" applyFont="1" applyBorder="1"/>
    <xf numFmtId="3" fontId="1" fillId="0" borderId="1" xfId="0" applyNumberFormat="1" applyFont="1" applyFill="1" applyBorder="1"/>
    <xf numFmtId="0" fontId="1" fillId="0" borderId="0" xfId="0" applyFont="1" applyFill="1"/>
    <xf numFmtId="0" fontId="3" fillId="0" borderId="0" xfId="0" applyFont="1" applyFill="1"/>
    <xf numFmtId="3" fontId="1" fillId="0" borderId="0" xfId="0" applyNumberFormat="1" applyFont="1" applyFill="1"/>
    <xf numFmtId="0" fontId="1" fillId="0" borderId="2" xfId="0" applyFont="1" applyFill="1" applyBorder="1" applyAlignment="1">
      <alignment vertical="top" wrapText="1"/>
    </xf>
    <xf numFmtId="4" fontId="3" fillId="0" borderId="1" xfId="0" applyNumberFormat="1" applyFont="1" applyBorder="1"/>
    <xf numFmtId="3" fontId="1" fillId="5" borderId="1" xfId="0" applyNumberFormat="1" applyFont="1" applyFill="1" applyBorder="1"/>
    <xf numFmtId="3" fontId="0" fillId="0" borderId="0" xfId="0" applyNumberFormat="1" applyFill="1"/>
    <xf numFmtId="4" fontId="0" fillId="0" borderId="0" xfId="0" applyNumberFormat="1" applyFill="1"/>
    <xf numFmtId="0" fontId="1" fillId="0" borderId="1" xfId="0" applyFont="1" applyFill="1" applyBorder="1" applyAlignment="1">
      <alignment wrapText="1"/>
    </xf>
    <xf numFmtId="3" fontId="0" fillId="0" borderId="1" xfId="0" applyNumberFormat="1" applyFill="1" applyBorder="1"/>
    <xf numFmtId="4" fontId="0" fillId="0" borderId="1" xfId="0" applyNumberFormat="1" applyFill="1" applyBorder="1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0" fontId="4" fillId="0" borderId="0" xfId="0" applyFon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4" fontId="1" fillId="0" borderId="1" xfId="0" applyNumberFormat="1" applyFont="1" applyFill="1" applyBorder="1"/>
    <xf numFmtId="0" fontId="2" fillId="0" borderId="1" xfId="0" applyFont="1" applyFill="1" applyBorder="1"/>
    <xf numFmtId="16" fontId="1" fillId="0" borderId="1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2" fillId="0" borderId="4" xfId="0" applyFont="1" applyFill="1" applyBorder="1"/>
    <xf numFmtId="3" fontId="1" fillId="0" borderId="4" xfId="0" applyNumberFormat="1" applyFont="1" applyFill="1" applyBorder="1"/>
    <xf numFmtId="3" fontId="3" fillId="0" borderId="4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/>
    <xf numFmtId="4" fontId="1" fillId="0" borderId="2" xfId="0" applyNumberFormat="1" applyFont="1" applyBorder="1"/>
    <xf numFmtId="3" fontId="3" fillId="5" borderId="1" xfId="0" applyNumberFormat="1" applyFont="1" applyFill="1" applyBorder="1"/>
    <xf numFmtId="4" fontId="3" fillId="0" borderId="1" xfId="0" applyNumberFormat="1" applyFont="1" applyFill="1" applyBorder="1"/>
    <xf numFmtId="2" fontId="0" fillId="0" borderId="0" xfId="0" applyNumberFormat="1" applyFill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6" borderId="1" xfId="0" applyFont="1" applyFill="1" applyBorder="1"/>
    <xf numFmtId="0" fontId="1" fillId="5" borderId="0" xfId="0" applyFont="1" applyFill="1"/>
    <xf numFmtId="0" fontId="8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1" fillId="5" borderId="1" xfId="0" applyFont="1" applyFill="1" applyBorder="1"/>
    <xf numFmtId="164" fontId="3" fillId="5" borderId="1" xfId="0" applyNumberFormat="1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/>
    <xf numFmtId="3" fontId="3" fillId="0" borderId="2" xfId="0" applyNumberFormat="1" applyFont="1" applyFill="1" applyBorder="1"/>
    <xf numFmtId="0" fontId="3" fillId="5" borderId="3" xfId="0" applyFont="1" applyFill="1" applyBorder="1" applyAlignment="1">
      <alignment wrapText="1"/>
    </xf>
    <xf numFmtId="0" fontId="3" fillId="0" borderId="4" xfId="0" applyFont="1" applyFill="1" applyBorder="1"/>
    <xf numFmtId="0" fontId="5" fillId="0" borderId="4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4" fillId="5" borderId="0" xfId="0" applyFont="1" applyFill="1" applyBorder="1"/>
    <xf numFmtId="0" fontId="5" fillId="5" borderId="1" xfId="0" applyFont="1" applyFill="1" applyBorder="1"/>
    <xf numFmtId="3" fontId="4" fillId="5" borderId="0" xfId="0" applyNumberFormat="1" applyFont="1" applyFill="1" applyBorder="1"/>
    <xf numFmtId="4" fontId="4" fillId="5" borderId="0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4" fillId="5" borderId="0" xfId="0" applyFont="1" applyFill="1"/>
    <xf numFmtId="3" fontId="4" fillId="5" borderId="0" xfId="0" applyNumberFormat="1" applyFont="1" applyFill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2" fontId="3" fillId="5" borderId="1" xfId="0" applyNumberFormat="1" applyFont="1" applyFill="1" applyBorder="1"/>
    <xf numFmtId="3" fontId="3" fillId="5" borderId="0" xfId="0" applyNumberFormat="1" applyFont="1" applyFill="1"/>
    <xf numFmtId="3" fontId="12" fillId="0" borderId="1" xfId="0" applyNumberFormat="1" applyFont="1" applyFill="1" applyBorder="1"/>
    <xf numFmtId="3" fontId="1" fillId="0" borderId="2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/>
    <xf numFmtId="0" fontId="20" fillId="0" borderId="4" xfId="0" applyFont="1" applyFill="1" applyBorder="1"/>
    <xf numFmtId="0" fontId="1" fillId="0" borderId="1" xfId="0" applyFont="1" applyBorder="1" applyAlignment="1">
      <alignment vertical="center" wrapText="1"/>
    </xf>
    <xf numFmtId="164" fontId="1" fillId="0" borderId="0" xfId="0" applyNumberFormat="1" applyFont="1"/>
    <xf numFmtId="3" fontId="22" fillId="5" borderId="1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3" fontId="16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" fillId="0" borderId="4" xfId="0" applyFont="1" applyBorder="1"/>
    <xf numFmtId="3" fontId="1" fillId="0" borderId="4" xfId="0" applyNumberFormat="1" applyFont="1" applyBorder="1"/>
    <xf numFmtId="0" fontId="1" fillId="2" borderId="0" xfId="0" applyFont="1" applyFill="1" applyBorder="1"/>
    <xf numFmtId="4" fontId="1" fillId="2" borderId="0" xfId="0" applyNumberFormat="1" applyFont="1" applyFill="1" applyBorder="1"/>
    <xf numFmtId="0" fontId="1" fillId="0" borderId="1" xfId="0" applyFont="1" applyBorder="1" applyAlignment="1">
      <alignment vertical="center" wrapText="1"/>
    </xf>
    <xf numFmtId="3" fontId="3" fillId="7" borderId="1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/>
    <xf numFmtId="4" fontId="1" fillId="0" borderId="4" xfId="0" applyNumberFormat="1" applyFont="1" applyBorder="1"/>
    <xf numFmtId="4" fontId="1" fillId="0" borderId="0" xfId="0" applyNumberFormat="1" applyFont="1" applyFill="1" applyBorder="1"/>
    <xf numFmtId="3" fontId="1" fillId="5" borderId="5" xfId="0" applyNumberFormat="1" applyFont="1" applyFill="1" applyBorder="1"/>
    <xf numFmtId="0" fontId="1" fillId="0" borderId="6" xfId="0" applyFont="1" applyBorder="1"/>
    <xf numFmtId="3" fontId="2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3" fillId="0" borderId="5" xfId="0" applyNumberFormat="1" applyFont="1" applyFill="1" applyBorder="1"/>
    <xf numFmtId="3" fontId="1" fillId="0" borderId="5" xfId="0" applyNumberFormat="1" applyFont="1" applyFill="1" applyBorder="1"/>
    <xf numFmtId="3" fontId="3" fillId="5" borderId="5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0" fillId="0" borderId="5" xfId="0" applyNumberFormat="1" applyFill="1" applyBorder="1"/>
    <xf numFmtId="3" fontId="12" fillId="0" borderId="5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1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/>
    <xf numFmtId="4" fontId="17" fillId="5" borderId="0" xfId="0" applyNumberFormat="1" applyFont="1" applyFill="1" applyBorder="1"/>
    <xf numFmtId="4" fontId="12" fillId="5" borderId="0" xfId="0" applyNumberFormat="1" applyFont="1" applyFill="1" applyBorder="1"/>
    <xf numFmtId="4" fontId="3" fillId="0" borderId="0" xfId="0" applyNumberFormat="1" applyFont="1" applyFill="1" applyBorder="1"/>
    <xf numFmtId="4" fontId="0" fillId="5" borderId="0" xfId="0" applyNumberFormat="1" applyFill="1" applyBorder="1"/>
    <xf numFmtId="3" fontId="3" fillId="5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3" fontId="12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/>
    <xf numFmtId="3" fontId="3" fillId="0" borderId="5" xfId="0" applyNumberFormat="1" applyFont="1" applyBorder="1"/>
    <xf numFmtId="0" fontId="1" fillId="0" borderId="5" xfId="0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2" borderId="5" xfId="0" applyNumberFormat="1" applyFont="1" applyFill="1" applyBorder="1"/>
    <xf numFmtId="3" fontId="3" fillId="0" borderId="8" xfId="0" applyNumberFormat="1" applyFont="1" applyBorder="1"/>
    <xf numFmtId="3" fontId="1" fillId="0" borderId="8" xfId="0" applyNumberFormat="1" applyFont="1" applyBorder="1"/>
    <xf numFmtId="0" fontId="3" fillId="0" borderId="5" xfId="0" applyFont="1" applyBorder="1"/>
    <xf numFmtId="0" fontId="1" fillId="2" borderId="6" xfId="0" applyFont="1" applyFill="1" applyBorder="1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1" fillId="5" borderId="0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252"/>
  <sheetViews>
    <sheetView view="pageBreakPreview" zoomScale="44" zoomScaleNormal="75" zoomScaleSheetLayoutView="44" workbookViewId="0">
      <pane xSplit="2" ySplit="5" topLeftCell="C936" activePane="bottomRight" state="frozen"/>
      <selection pane="topRight" activeCell="C1" sqref="C1"/>
      <selection pane="bottomLeft" activeCell="A6" sqref="A6"/>
      <selection pane="bottomRight" activeCell="W1201" sqref="W1201"/>
    </sheetView>
  </sheetViews>
  <sheetFormatPr defaultRowHeight="15" x14ac:dyDescent="0.25"/>
  <cols>
    <col min="1" max="1" width="9.140625" style="55"/>
    <col min="2" max="2" width="51.85546875" style="55" customWidth="1"/>
    <col min="3" max="3" width="11.28515625" style="55" customWidth="1"/>
    <col min="4" max="4" width="12.42578125" style="55" customWidth="1"/>
    <col min="5" max="5" width="17" style="55" customWidth="1"/>
    <col min="6" max="6" width="12.5703125" style="55" customWidth="1"/>
    <col min="7" max="7" width="14" style="55" customWidth="1"/>
    <col min="8" max="8" width="15.28515625" style="55" customWidth="1"/>
    <col min="9" max="9" width="12" style="55" customWidth="1"/>
    <col min="10" max="10" width="13.85546875" style="55" customWidth="1"/>
    <col min="11" max="11" width="16" style="55" customWidth="1"/>
    <col min="12" max="12" width="12.7109375" style="55" customWidth="1"/>
    <col min="13" max="13" width="13.140625" style="55" customWidth="1"/>
    <col min="14" max="14" width="13.85546875" style="55" customWidth="1"/>
    <col min="15" max="15" width="16.42578125" style="55" customWidth="1"/>
    <col min="16" max="16" width="13.28515625" style="55" customWidth="1"/>
    <col min="17" max="17" width="12" style="55" hidden="1" customWidth="1"/>
    <col min="18" max="18" width="17.85546875" style="55" customWidth="1"/>
    <col min="19" max="19" width="14.85546875" style="55" customWidth="1"/>
    <col min="20" max="20" width="20.42578125" style="55" customWidth="1"/>
    <col min="21" max="21" width="15.5703125" style="175" customWidth="1"/>
    <col min="22" max="22" width="16.5703125" style="176" customWidth="1"/>
    <col min="23" max="23" width="28.28515625" style="176" customWidth="1"/>
    <col min="24" max="16384" width="9.140625" style="55"/>
  </cols>
  <sheetData>
    <row r="2" spans="1:23" x14ac:dyDescent="0.25">
      <c r="A2" s="54" t="s">
        <v>341</v>
      </c>
      <c r="C2" s="54"/>
      <c r="D2" s="54"/>
      <c r="E2" s="54"/>
      <c r="F2" s="54"/>
    </row>
    <row r="3" spans="1:23" x14ac:dyDescent="0.25">
      <c r="S3" s="55" t="s">
        <v>19</v>
      </c>
    </row>
    <row r="4" spans="1:23" ht="42.75" customHeight="1" x14ac:dyDescent="0.25">
      <c r="A4" s="149" t="s">
        <v>0</v>
      </c>
      <c r="B4" s="150" t="s">
        <v>304</v>
      </c>
      <c r="C4" s="150" t="s">
        <v>336</v>
      </c>
      <c r="D4" s="151" t="s">
        <v>2</v>
      </c>
      <c r="E4" s="151"/>
      <c r="F4" s="152" t="s">
        <v>3</v>
      </c>
      <c r="G4" s="153"/>
      <c r="H4" s="152" t="s">
        <v>277</v>
      </c>
      <c r="I4" s="153"/>
      <c r="J4" s="151" t="s">
        <v>279</v>
      </c>
      <c r="K4" s="151"/>
      <c r="L4" s="151" t="s">
        <v>283</v>
      </c>
      <c r="M4" s="151"/>
      <c r="N4" s="151" t="s">
        <v>300</v>
      </c>
      <c r="O4" s="151"/>
      <c r="P4" s="84"/>
      <c r="Q4" s="84"/>
      <c r="R4" s="151" t="s">
        <v>314</v>
      </c>
      <c r="S4" s="151" t="s">
        <v>5</v>
      </c>
      <c r="T4" s="152" t="s">
        <v>26</v>
      </c>
      <c r="U4" s="177"/>
      <c r="V4" s="9"/>
      <c r="W4" s="134"/>
    </row>
    <row r="5" spans="1:23" ht="87.75" customHeight="1" x14ac:dyDescent="0.25">
      <c r="A5" s="149"/>
      <c r="B5" s="149"/>
      <c r="C5" s="149"/>
      <c r="D5" s="84" t="s">
        <v>20</v>
      </c>
      <c r="E5" s="84" t="s">
        <v>21</v>
      </c>
      <c r="F5" s="84" t="s">
        <v>22</v>
      </c>
      <c r="G5" s="84" t="s">
        <v>21</v>
      </c>
      <c r="H5" s="84" t="s">
        <v>24</v>
      </c>
      <c r="I5" s="84" t="s">
        <v>278</v>
      </c>
      <c r="J5" s="84" t="s">
        <v>24</v>
      </c>
      <c r="K5" s="84" t="s">
        <v>25</v>
      </c>
      <c r="L5" s="84" t="s">
        <v>284</v>
      </c>
      <c r="M5" s="84" t="s">
        <v>302</v>
      </c>
      <c r="N5" s="84" t="s">
        <v>301</v>
      </c>
      <c r="O5" s="84" t="s">
        <v>25</v>
      </c>
      <c r="P5" s="84" t="s">
        <v>266</v>
      </c>
      <c r="Q5" s="84" t="s">
        <v>230</v>
      </c>
      <c r="R5" s="151"/>
      <c r="S5" s="151"/>
      <c r="T5" s="152"/>
    </row>
    <row r="6" spans="1:23" s="60" customFormat="1" x14ac:dyDescent="0.25">
      <c r="A6" s="56" t="s">
        <v>6</v>
      </c>
      <c r="B6" s="57" t="s">
        <v>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76"/>
      <c r="N6" s="58"/>
      <c r="O6" s="58"/>
      <c r="P6" s="58"/>
      <c r="Q6" s="58"/>
      <c r="R6" s="58"/>
      <c r="S6" s="58"/>
      <c r="T6" s="168"/>
      <c r="U6" s="178"/>
      <c r="V6" s="179"/>
      <c r="W6" s="66"/>
    </row>
    <row r="7" spans="1:23" ht="39" x14ac:dyDescent="0.25">
      <c r="A7" s="61" t="s">
        <v>8</v>
      </c>
      <c r="B7" s="51" t="s">
        <v>44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69"/>
    </row>
    <row r="8" spans="1:23" x14ac:dyDescent="0.25">
      <c r="A8" s="61"/>
      <c r="B8" s="51" t="s">
        <v>287</v>
      </c>
      <c r="C8" s="42"/>
      <c r="D8" s="42">
        <v>77562</v>
      </c>
      <c r="E8" s="42">
        <f>C8*D8</f>
        <v>0</v>
      </c>
      <c r="F8" s="42">
        <f>ROUND(D8*35.3%,0)</f>
        <v>27379</v>
      </c>
      <c r="G8" s="42">
        <f>C8*F8</f>
        <v>0</v>
      </c>
      <c r="H8" s="62">
        <v>13347.1</v>
      </c>
      <c r="I8" s="63">
        <v>1.4</v>
      </c>
      <c r="J8" s="42">
        <f>H8*I8</f>
        <v>18685.939999999999</v>
      </c>
      <c r="K8" s="42">
        <f>ROUND(C8*J8,0)</f>
        <v>0</v>
      </c>
      <c r="L8" s="42"/>
      <c r="M8" s="42"/>
      <c r="N8" s="42"/>
      <c r="O8" s="42"/>
      <c r="P8" s="42">
        <f>D8+F8+J8+N8</f>
        <v>123626.94</v>
      </c>
      <c r="Q8" s="58"/>
      <c r="R8" s="42">
        <f>E8+G8+K8+O8</f>
        <v>0</v>
      </c>
      <c r="S8" s="42"/>
      <c r="T8" s="169">
        <f>R8+S8</f>
        <v>0</v>
      </c>
    </row>
    <row r="9" spans="1:23" x14ac:dyDescent="0.25">
      <c r="A9" s="61"/>
      <c r="B9" s="51" t="s">
        <v>28</v>
      </c>
      <c r="C9" s="42">
        <v>25</v>
      </c>
      <c r="D9" s="42">
        <v>46539</v>
      </c>
      <c r="E9" s="42">
        <f>C9*D9+86885</f>
        <v>1250360</v>
      </c>
      <c r="F9" s="42">
        <f t="shared" ref="F9:F14" si="0">ROUND(D9*35.3%,0)</f>
        <v>16428</v>
      </c>
      <c r="G9" s="42">
        <f>C9*F9+3132</f>
        <v>413832</v>
      </c>
      <c r="H9" s="62">
        <v>13347.1</v>
      </c>
      <c r="I9" s="63">
        <v>1.4</v>
      </c>
      <c r="J9" s="42">
        <f t="shared" ref="J9:J14" si="1">H9*I9</f>
        <v>18685.939999999999</v>
      </c>
      <c r="K9" s="42">
        <f t="shared" ref="K9:K13" si="2">ROUND(C9*J9,0)</f>
        <v>467149</v>
      </c>
      <c r="L9" s="42"/>
      <c r="M9" s="62"/>
      <c r="N9" s="42"/>
      <c r="O9" s="42"/>
      <c r="P9" s="42">
        <f t="shared" ref="P9:P14" si="3">D9+F9+J9+N9</f>
        <v>81652.94</v>
      </c>
      <c r="Q9" s="58"/>
      <c r="R9" s="42">
        <f>E9+G9+K9+O9</f>
        <v>2131341</v>
      </c>
      <c r="S9" s="42"/>
      <c r="T9" s="169">
        <f t="shared" ref="T9:T19" si="4">R9+S9</f>
        <v>2131341</v>
      </c>
    </row>
    <row r="10" spans="1:23" x14ac:dyDescent="0.25">
      <c r="A10" s="61"/>
      <c r="B10" s="51" t="s">
        <v>289</v>
      </c>
      <c r="C10" s="42">
        <v>25</v>
      </c>
      <c r="D10" s="42">
        <v>46539</v>
      </c>
      <c r="E10" s="42">
        <f t="shared" ref="E10:E14" si="5">C10*D10</f>
        <v>1163475</v>
      </c>
      <c r="F10" s="42">
        <f t="shared" si="0"/>
        <v>16428</v>
      </c>
      <c r="G10" s="42">
        <f t="shared" ref="G10" si="6">C10*F10</f>
        <v>410700</v>
      </c>
      <c r="H10" s="62">
        <v>13347.1</v>
      </c>
      <c r="I10" s="63">
        <v>1.4</v>
      </c>
      <c r="J10" s="42">
        <f t="shared" si="1"/>
        <v>18685.939999999999</v>
      </c>
      <c r="K10" s="42">
        <f t="shared" si="2"/>
        <v>467149</v>
      </c>
      <c r="L10" s="42"/>
      <c r="M10" s="62"/>
      <c r="N10" s="42"/>
      <c r="O10" s="42"/>
      <c r="P10" s="42">
        <f t="shared" si="3"/>
        <v>81652.94</v>
      </c>
      <c r="Q10" s="58"/>
      <c r="R10" s="42">
        <f>E10+G10+K10+O10</f>
        <v>2041324</v>
      </c>
      <c r="S10" s="42"/>
      <c r="T10" s="169">
        <f t="shared" si="4"/>
        <v>2041324</v>
      </c>
    </row>
    <row r="11" spans="1:23" ht="39" x14ac:dyDescent="0.25">
      <c r="A11" s="61" t="s">
        <v>10</v>
      </c>
      <c r="B11" s="51" t="s">
        <v>45</v>
      </c>
      <c r="C11" s="42"/>
      <c r="D11" s="42"/>
      <c r="E11" s="42"/>
      <c r="F11" s="42">
        <f t="shared" si="0"/>
        <v>0</v>
      </c>
      <c r="G11" s="42"/>
      <c r="H11" s="62"/>
      <c r="I11" s="6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69"/>
    </row>
    <row r="12" spans="1:23" x14ac:dyDescent="0.25">
      <c r="A12" s="61"/>
      <c r="B12" s="51" t="s">
        <v>287</v>
      </c>
      <c r="C12" s="42">
        <v>30</v>
      </c>
      <c r="D12" s="42">
        <v>67868</v>
      </c>
      <c r="E12" s="42">
        <f t="shared" si="5"/>
        <v>2036040</v>
      </c>
      <c r="F12" s="42">
        <f t="shared" si="0"/>
        <v>23957</v>
      </c>
      <c r="G12" s="42">
        <f>C12*F12</f>
        <v>718710</v>
      </c>
      <c r="H12" s="62">
        <v>13347.1</v>
      </c>
      <c r="I12" s="63">
        <v>1.4</v>
      </c>
      <c r="J12" s="42">
        <f t="shared" si="1"/>
        <v>18685.939999999999</v>
      </c>
      <c r="K12" s="42">
        <f t="shared" si="2"/>
        <v>560578</v>
      </c>
      <c r="L12" s="42"/>
      <c r="M12" s="62"/>
      <c r="N12" s="42"/>
      <c r="O12" s="42"/>
      <c r="P12" s="42">
        <f t="shared" si="3"/>
        <v>110510.94</v>
      </c>
      <c r="Q12" s="58"/>
      <c r="R12" s="42">
        <f>E12+G12+K12+O12</f>
        <v>3315328</v>
      </c>
      <c r="S12" s="42"/>
      <c r="T12" s="169">
        <f t="shared" si="4"/>
        <v>3315328</v>
      </c>
    </row>
    <row r="13" spans="1:23" x14ac:dyDescent="0.25">
      <c r="A13" s="61"/>
      <c r="B13" s="51" t="s">
        <v>28</v>
      </c>
      <c r="C13" s="42">
        <v>200</v>
      </c>
      <c r="D13" s="42">
        <v>40721</v>
      </c>
      <c r="E13" s="42">
        <f>C13*D13</f>
        <v>8144200</v>
      </c>
      <c r="F13" s="42">
        <f t="shared" si="0"/>
        <v>14375</v>
      </c>
      <c r="G13" s="42">
        <f t="shared" ref="G13:G14" si="7">C13*F13</f>
        <v>2875000</v>
      </c>
      <c r="H13" s="62">
        <v>13347.1</v>
      </c>
      <c r="I13" s="63">
        <v>1.4</v>
      </c>
      <c r="J13" s="42">
        <f t="shared" si="1"/>
        <v>18685.939999999999</v>
      </c>
      <c r="K13" s="42">
        <f t="shared" si="2"/>
        <v>3737188</v>
      </c>
      <c r="L13" s="42"/>
      <c r="M13" s="62"/>
      <c r="N13" s="42"/>
      <c r="O13" s="42"/>
      <c r="P13" s="42">
        <f t="shared" si="3"/>
        <v>73781.94</v>
      </c>
      <c r="Q13" s="58"/>
      <c r="R13" s="42">
        <f t="shared" ref="R13:R14" si="8">E13+G13+K13+O13</f>
        <v>14756388</v>
      </c>
      <c r="S13" s="42"/>
      <c r="T13" s="169">
        <f t="shared" si="4"/>
        <v>14756388</v>
      </c>
    </row>
    <row r="14" spans="1:23" x14ac:dyDescent="0.25">
      <c r="A14" s="61"/>
      <c r="B14" s="51" t="s">
        <v>289</v>
      </c>
      <c r="C14" s="42">
        <v>25</v>
      </c>
      <c r="D14" s="42">
        <v>40721</v>
      </c>
      <c r="E14" s="42">
        <f t="shared" si="5"/>
        <v>1018025</v>
      </c>
      <c r="F14" s="42">
        <f t="shared" si="0"/>
        <v>14375</v>
      </c>
      <c r="G14" s="42">
        <f t="shared" si="7"/>
        <v>359375</v>
      </c>
      <c r="H14" s="62">
        <v>13347.1</v>
      </c>
      <c r="I14" s="63">
        <v>1.4</v>
      </c>
      <c r="J14" s="42">
        <f t="shared" si="1"/>
        <v>18685.939999999999</v>
      </c>
      <c r="K14" s="42">
        <v>662003</v>
      </c>
      <c r="L14" s="42"/>
      <c r="M14" s="62"/>
      <c r="N14" s="42"/>
      <c r="O14" s="42"/>
      <c r="P14" s="42">
        <f t="shared" si="3"/>
        <v>73781.94</v>
      </c>
      <c r="Q14" s="58"/>
      <c r="R14" s="42">
        <f t="shared" si="8"/>
        <v>2039403</v>
      </c>
      <c r="S14" s="42"/>
      <c r="T14" s="169">
        <f t="shared" si="4"/>
        <v>2039403</v>
      </c>
    </row>
    <row r="15" spans="1:23" ht="39" x14ac:dyDescent="0.25">
      <c r="A15" s="61" t="s">
        <v>12</v>
      </c>
      <c r="B15" s="51" t="s">
        <v>30</v>
      </c>
      <c r="C15" s="42"/>
      <c r="D15" s="42"/>
      <c r="E15" s="42"/>
      <c r="F15" s="42"/>
      <c r="G15" s="42"/>
      <c r="H15" s="6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69"/>
    </row>
    <row r="16" spans="1:23" x14ac:dyDescent="0.25">
      <c r="A16" s="61"/>
      <c r="B16" s="51" t="s">
        <v>287</v>
      </c>
      <c r="C16" s="42"/>
      <c r="D16" s="42"/>
      <c r="E16" s="42"/>
      <c r="F16" s="42"/>
      <c r="G16" s="42"/>
      <c r="H16" s="62"/>
      <c r="I16" s="42"/>
      <c r="J16" s="42"/>
      <c r="K16" s="42"/>
      <c r="L16" s="42"/>
      <c r="M16" s="42"/>
      <c r="N16" s="42"/>
      <c r="O16" s="42"/>
      <c r="P16" s="42"/>
      <c r="Q16" s="58"/>
      <c r="R16" s="42"/>
      <c r="S16" s="42"/>
      <c r="T16" s="169">
        <f t="shared" si="4"/>
        <v>0</v>
      </c>
    </row>
    <row r="17" spans="1:23" x14ac:dyDescent="0.25">
      <c r="A17" s="61"/>
      <c r="B17" s="51" t="s">
        <v>28</v>
      </c>
      <c r="C17" s="42"/>
      <c r="D17" s="42"/>
      <c r="E17" s="42"/>
      <c r="F17" s="42"/>
      <c r="G17" s="42"/>
      <c r="H17" s="62"/>
      <c r="I17" s="63"/>
      <c r="J17" s="42"/>
      <c r="K17" s="42"/>
      <c r="L17" s="42"/>
      <c r="M17" s="62"/>
      <c r="N17" s="42"/>
      <c r="O17" s="42"/>
      <c r="P17" s="42"/>
      <c r="Q17" s="58"/>
      <c r="R17" s="42"/>
      <c r="S17" s="42"/>
      <c r="T17" s="169">
        <f t="shared" si="4"/>
        <v>0</v>
      </c>
    </row>
    <row r="18" spans="1:23" hidden="1" x14ac:dyDescent="0.25">
      <c r="A18" s="61"/>
      <c r="B18" s="51" t="s">
        <v>29</v>
      </c>
      <c r="C18" s="42"/>
      <c r="D18" s="42"/>
      <c r="E18" s="42"/>
      <c r="F18" s="42"/>
      <c r="G18" s="42"/>
      <c r="H18" s="62"/>
      <c r="I18" s="42"/>
      <c r="J18" s="42"/>
      <c r="K18" s="42"/>
      <c r="L18" s="42"/>
      <c r="M18" s="42"/>
      <c r="N18" s="42"/>
      <c r="O18" s="42"/>
      <c r="P18" s="42"/>
      <c r="Q18" s="58"/>
      <c r="R18" s="42"/>
      <c r="S18" s="42"/>
      <c r="T18" s="169">
        <f t="shared" si="4"/>
        <v>0</v>
      </c>
    </row>
    <row r="19" spans="1:23" x14ac:dyDescent="0.25">
      <c r="A19" s="61" t="s">
        <v>53</v>
      </c>
      <c r="B19" s="51" t="s">
        <v>13</v>
      </c>
      <c r="C19" s="42">
        <v>305</v>
      </c>
      <c r="D19" s="42"/>
      <c r="E19" s="42"/>
      <c r="F19" s="42"/>
      <c r="G19" s="42"/>
      <c r="H19" s="62"/>
      <c r="I19" s="63"/>
      <c r="J19" s="42"/>
      <c r="K19" s="42"/>
      <c r="L19" s="63">
        <v>3605.27</v>
      </c>
      <c r="M19" s="117">
        <v>1.5029999999999999</v>
      </c>
      <c r="N19" s="42">
        <f t="shared" ref="N19" si="9">L19*M19</f>
        <v>5418.7208099999998</v>
      </c>
      <c r="O19" s="42">
        <f>ROUND(C19*N19,0)</f>
        <v>1652710</v>
      </c>
      <c r="P19" s="42">
        <f t="shared" ref="P19" si="10">D19+F19+J19+N19</f>
        <v>5418.7208099999998</v>
      </c>
      <c r="Q19" s="58"/>
      <c r="R19" s="42">
        <f t="shared" ref="R19" si="11">E19+G19+K19+O19</f>
        <v>1652710</v>
      </c>
      <c r="S19" s="42"/>
      <c r="T19" s="169">
        <f t="shared" si="4"/>
        <v>1652710</v>
      </c>
    </row>
    <row r="20" spans="1:23" s="60" customFormat="1" hidden="1" x14ac:dyDescent="0.25">
      <c r="A20" s="56"/>
      <c r="B20" s="51" t="s">
        <v>27</v>
      </c>
      <c r="C20" s="58"/>
      <c r="D20" s="58"/>
      <c r="E20" s="58"/>
      <c r="F20" s="58"/>
      <c r="G20" s="58"/>
      <c r="H20" s="62"/>
      <c r="I20" s="58"/>
      <c r="J20" s="58"/>
      <c r="K20" s="58"/>
      <c r="L20" s="58"/>
      <c r="M20" s="58"/>
      <c r="N20" s="58"/>
      <c r="O20" s="58"/>
      <c r="P20" s="42"/>
      <c r="Q20" s="58"/>
      <c r="R20" s="42"/>
      <c r="S20" s="42"/>
      <c r="T20" s="168"/>
      <c r="U20" s="68"/>
      <c r="V20" s="66"/>
      <c r="W20" s="66"/>
    </row>
    <row r="21" spans="1:23" hidden="1" x14ac:dyDescent="0.25">
      <c r="A21" s="61"/>
      <c r="B21" s="51" t="s">
        <v>28</v>
      </c>
      <c r="C21" s="42"/>
      <c r="D21" s="42"/>
      <c r="E21" s="42"/>
      <c r="F21" s="42"/>
      <c r="G21" s="42"/>
      <c r="H21" s="62"/>
      <c r="I21" s="42"/>
      <c r="J21" s="42"/>
      <c r="K21" s="42"/>
      <c r="L21" s="42"/>
      <c r="M21" s="42"/>
      <c r="N21" s="42"/>
      <c r="O21" s="42"/>
      <c r="P21" s="42"/>
      <c r="Q21" s="58"/>
      <c r="R21" s="42"/>
      <c r="S21" s="42"/>
      <c r="T21" s="169"/>
    </row>
    <row r="22" spans="1:23" hidden="1" x14ac:dyDescent="0.25">
      <c r="A22" s="61"/>
      <c r="B22" s="51" t="s">
        <v>29</v>
      </c>
      <c r="C22" s="42"/>
      <c r="D22" s="42"/>
      <c r="E22" s="42"/>
      <c r="F22" s="42"/>
      <c r="G22" s="42"/>
      <c r="H22" s="62"/>
      <c r="I22" s="42"/>
      <c r="J22" s="42"/>
      <c r="K22" s="42"/>
      <c r="L22" s="42"/>
      <c r="M22" s="42"/>
      <c r="N22" s="42"/>
      <c r="O22" s="42"/>
      <c r="P22" s="42"/>
      <c r="Q22" s="58"/>
      <c r="R22" s="42"/>
      <c r="S22" s="42"/>
      <c r="T22" s="169"/>
    </row>
    <row r="23" spans="1:23" x14ac:dyDescent="0.25">
      <c r="A23" s="88"/>
      <c r="B23" s="86" t="s">
        <v>315</v>
      </c>
      <c r="C23" s="75">
        <f>C8+C9+C10+C12+C13+C14+C16+C17</f>
        <v>305</v>
      </c>
      <c r="D23" s="75"/>
      <c r="E23" s="75">
        <f>E8+E9+E10+E12+E13+E14+E16+E17</f>
        <v>13612100</v>
      </c>
      <c r="F23" s="75"/>
      <c r="G23" s="75">
        <f>G8+G9+G10+G12+G13+G14+G16+G17</f>
        <v>4777617</v>
      </c>
      <c r="H23" s="89"/>
      <c r="I23" s="75"/>
      <c r="J23" s="75"/>
      <c r="K23" s="75">
        <f>K8+K9+K10+K12+K13+K14+K16+K17+K19</f>
        <v>5894067</v>
      </c>
      <c r="L23" s="75"/>
      <c r="M23" s="75"/>
      <c r="N23" s="75"/>
      <c r="O23" s="75">
        <f>O8+O9+O10+O12+O13+O14+O16+O17+O19</f>
        <v>1652710</v>
      </c>
      <c r="P23" s="75"/>
      <c r="Q23" s="75"/>
      <c r="R23" s="75">
        <f>R8+R9+R10+R12+R13+R14+R16+R17+6+R19</f>
        <v>25936500</v>
      </c>
      <c r="S23" s="75">
        <v>494000</v>
      </c>
      <c r="T23" s="170">
        <f>R23+S23</f>
        <v>26430500</v>
      </c>
      <c r="U23" s="180"/>
      <c r="V23" s="180"/>
    </row>
    <row r="24" spans="1:23" s="60" customFormat="1" x14ac:dyDescent="0.25">
      <c r="A24" s="56">
        <v>2</v>
      </c>
      <c r="B24" s="57" t="s">
        <v>31</v>
      </c>
      <c r="C24" s="58"/>
      <c r="D24" s="58"/>
      <c r="E24" s="58"/>
      <c r="F24" s="58"/>
      <c r="G24" s="58"/>
      <c r="H24" s="62"/>
      <c r="I24" s="58"/>
      <c r="J24" s="58"/>
      <c r="K24" s="58"/>
      <c r="L24" s="58"/>
      <c r="M24" s="58"/>
      <c r="N24" s="58"/>
      <c r="O24" s="58"/>
      <c r="P24" s="42"/>
      <c r="Q24" s="58"/>
      <c r="R24" s="58"/>
      <c r="S24" s="58"/>
      <c r="T24" s="168"/>
      <c r="U24" s="179"/>
      <c r="V24" s="179"/>
      <c r="W24" s="66"/>
    </row>
    <row r="25" spans="1:23" ht="39" x14ac:dyDescent="0.25">
      <c r="A25" s="61" t="s">
        <v>15</v>
      </c>
      <c r="B25" s="51" t="s">
        <v>44</v>
      </c>
      <c r="C25" s="42"/>
      <c r="D25" s="42"/>
      <c r="E25" s="42"/>
      <c r="F25" s="42"/>
      <c r="G25" s="42"/>
      <c r="H25" s="62"/>
      <c r="I25" s="42"/>
      <c r="J25" s="42"/>
      <c r="K25" s="42"/>
      <c r="L25" s="42"/>
      <c r="M25" s="42"/>
      <c r="N25" s="42"/>
      <c r="O25" s="42"/>
      <c r="P25" s="42"/>
      <c r="Q25" s="58"/>
      <c r="R25" s="42"/>
      <c r="S25" s="42"/>
      <c r="T25" s="168"/>
    </row>
    <row r="26" spans="1:23" x14ac:dyDescent="0.25">
      <c r="A26" s="61"/>
      <c r="B26" s="51" t="s">
        <v>287</v>
      </c>
      <c r="C26" s="42">
        <v>15</v>
      </c>
      <c r="D26" s="42">
        <v>77562</v>
      </c>
      <c r="E26" s="42">
        <f>C26*D26+62743</f>
        <v>1226173</v>
      </c>
      <c r="F26" s="42">
        <f t="shared" ref="F26:F38" si="12">ROUND(D26*35.3%,0)</f>
        <v>27379</v>
      </c>
      <c r="G26" s="42">
        <f t="shared" ref="G26:G38" si="13">C26*F26</f>
        <v>410685</v>
      </c>
      <c r="H26" s="62">
        <v>13347.1</v>
      </c>
      <c r="I26" s="63">
        <v>1.4</v>
      </c>
      <c r="J26" s="42">
        <f t="shared" ref="J26:J38" si="14">H26*I26</f>
        <v>18685.939999999999</v>
      </c>
      <c r="K26" s="42">
        <f>ROUND(C26*J26,0)</f>
        <v>280289</v>
      </c>
      <c r="L26" s="42"/>
      <c r="M26" s="42"/>
      <c r="N26" s="42"/>
      <c r="O26" s="42"/>
      <c r="P26" s="42">
        <f>D26+F26+J26+N26</f>
        <v>123626.94</v>
      </c>
      <c r="Q26" s="58"/>
      <c r="R26" s="42">
        <f t="shared" ref="R26" si="15">E26+G26+K26+O26</f>
        <v>1917147</v>
      </c>
      <c r="S26" s="42"/>
      <c r="T26" s="169">
        <f t="shared" ref="T26" si="16">R26+S26</f>
        <v>1917147</v>
      </c>
    </row>
    <row r="27" spans="1:23" x14ac:dyDescent="0.25">
      <c r="A27" s="61"/>
      <c r="B27" s="51" t="s">
        <v>28</v>
      </c>
      <c r="C27" s="42">
        <v>10</v>
      </c>
      <c r="D27" s="42">
        <v>46539</v>
      </c>
      <c r="E27" s="42">
        <f t="shared" ref="E27:E38" si="17">C27*D27</f>
        <v>465390</v>
      </c>
      <c r="F27" s="42">
        <f t="shared" si="12"/>
        <v>16428</v>
      </c>
      <c r="G27" s="42">
        <f t="shared" si="13"/>
        <v>164280</v>
      </c>
      <c r="H27" s="62">
        <v>13347.1</v>
      </c>
      <c r="I27" s="63">
        <v>1.4</v>
      </c>
      <c r="J27" s="42">
        <f t="shared" si="14"/>
        <v>18685.939999999999</v>
      </c>
      <c r="K27" s="42">
        <f t="shared" ref="K27:K36" si="18">ROUND(C27*J27,0)</f>
        <v>186859</v>
      </c>
      <c r="L27" s="42"/>
      <c r="M27" s="42"/>
      <c r="N27" s="42"/>
      <c r="O27" s="42"/>
      <c r="P27" s="42">
        <f t="shared" ref="P27:P39" si="19">D27+F27+J27+N27</f>
        <v>81652.94</v>
      </c>
      <c r="Q27" s="58"/>
      <c r="R27" s="42">
        <f t="shared" ref="R27:R28" si="20">E27+G27+K27+O27</f>
        <v>816529</v>
      </c>
      <c r="S27" s="42"/>
      <c r="T27" s="169">
        <f t="shared" ref="T27:T28" si="21">R27+S27</f>
        <v>816529</v>
      </c>
    </row>
    <row r="28" spans="1:23" x14ac:dyDescent="0.25">
      <c r="A28" s="61"/>
      <c r="B28" s="51" t="s">
        <v>289</v>
      </c>
      <c r="C28" s="42">
        <v>11</v>
      </c>
      <c r="D28" s="42">
        <v>46539</v>
      </c>
      <c r="E28" s="42">
        <f t="shared" si="17"/>
        <v>511929</v>
      </c>
      <c r="F28" s="42">
        <f t="shared" si="12"/>
        <v>16428</v>
      </c>
      <c r="G28" s="42">
        <f t="shared" si="13"/>
        <v>180708</v>
      </c>
      <c r="H28" s="62">
        <v>13347.1</v>
      </c>
      <c r="I28" s="63">
        <v>1.4</v>
      </c>
      <c r="J28" s="42">
        <f t="shared" si="14"/>
        <v>18685.939999999999</v>
      </c>
      <c r="K28" s="42">
        <f t="shared" si="18"/>
        <v>205545</v>
      </c>
      <c r="L28" s="42"/>
      <c r="M28" s="42"/>
      <c r="N28" s="42"/>
      <c r="O28" s="42"/>
      <c r="P28" s="42">
        <f t="shared" si="19"/>
        <v>81652.94</v>
      </c>
      <c r="Q28" s="58"/>
      <c r="R28" s="42">
        <f t="shared" si="20"/>
        <v>898182</v>
      </c>
      <c r="S28" s="42"/>
      <c r="T28" s="169">
        <f t="shared" si="21"/>
        <v>898182</v>
      </c>
    </row>
    <row r="29" spans="1:23" ht="39" x14ac:dyDescent="0.25">
      <c r="A29" s="61" t="s">
        <v>59</v>
      </c>
      <c r="B29" s="51" t="s">
        <v>45</v>
      </c>
      <c r="C29" s="42"/>
      <c r="D29" s="42"/>
      <c r="E29" s="42"/>
      <c r="F29" s="42">
        <f t="shared" si="12"/>
        <v>0</v>
      </c>
      <c r="G29" s="42"/>
      <c r="H29" s="62"/>
      <c r="I29" s="63">
        <v>1.4</v>
      </c>
      <c r="J29" s="42"/>
      <c r="K29" s="42"/>
      <c r="L29" s="42"/>
      <c r="M29" s="42"/>
      <c r="N29" s="42"/>
      <c r="O29" s="42"/>
      <c r="P29" s="42"/>
      <c r="Q29" s="58"/>
      <c r="R29" s="42"/>
      <c r="S29" s="42"/>
      <c r="T29" s="168"/>
    </row>
    <row r="30" spans="1:23" x14ac:dyDescent="0.25">
      <c r="A30" s="61"/>
      <c r="B30" s="51" t="s">
        <v>287</v>
      </c>
      <c r="C30" s="42">
        <v>15</v>
      </c>
      <c r="D30" s="42">
        <v>67868</v>
      </c>
      <c r="E30" s="42">
        <f t="shared" si="17"/>
        <v>1018020</v>
      </c>
      <c r="F30" s="42">
        <f t="shared" si="12"/>
        <v>23957</v>
      </c>
      <c r="G30" s="42">
        <f t="shared" si="13"/>
        <v>359355</v>
      </c>
      <c r="H30" s="62">
        <v>13347.1</v>
      </c>
      <c r="I30" s="63">
        <v>1.4</v>
      </c>
      <c r="J30" s="42">
        <f t="shared" si="14"/>
        <v>18685.939999999999</v>
      </c>
      <c r="K30" s="42">
        <f t="shared" si="18"/>
        <v>280289</v>
      </c>
      <c r="L30" s="42"/>
      <c r="M30" s="42"/>
      <c r="N30" s="42"/>
      <c r="O30" s="42"/>
      <c r="P30" s="42">
        <f t="shared" si="19"/>
        <v>110510.94</v>
      </c>
      <c r="Q30" s="58"/>
      <c r="R30" s="42">
        <f t="shared" ref="R30" si="22">E30+G30+K30+O30</f>
        <v>1657664</v>
      </c>
      <c r="S30" s="42"/>
      <c r="T30" s="169">
        <f t="shared" ref="T30" si="23">R30+S30</f>
        <v>1657664</v>
      </c>
    </row>
    <row r="31" spans="1:23" x14ac:dyDescent="0.25">
      <c r="A31" s="61"/>
      <c r="B31" s="51" t="s">
        <v>28</v>
      </c>
      <c r="C31" s="42">
        <v>90</v>
      </c>
      <c r="D31" s="42">
        <v>40721</v>
      </c>
      <c r="E31" s="42">
        <f t="shared" si="17"/>
        <v>3664890</v>
      </c>
      <c r="F31" s="42">
        <f t="shared" si="12"/>
        <v>14375</v>
      </c>
      <c r="G31" s="42">
        <f t="shared" si="13"/>
        <v>1293750</v>
      </c>
      <c r="H31" s="62">
        <v>13347.1</v>
      </c>
      <c r="I31" s="63">
        <v>1.4</v>
      </c>
      <c r="J31" s="42">
        <f t="shared" si="14"/>
        <v>18685.939999999999</v>
      </c>
      <c r="K31" s="42">
        <f t="shared" si="18"/>
        <v>1681735</v>
      </c>
      <c r="L31" s="42"/>
      <c r="M31" s="42"/>
      <c r="N31" s="42"/>
      <c r="O31" s="42"/>
      <c r="P31" s="42">
        <f t="shared" si="19"/>
        <v>73781.94</v>
      </c>
      <c r="Q31" s="58"/>
      <c r="R31" s="42">
        <f t="shared" ref="R31:R32" si="24">E31+G31+K31+O31</f>
        <v>6640375</v>
      </c>
      <c r="S31" s="42"/>
      <c r="T31" s="169">
        <f t="shared" ref="T31:T32" si="25">R31+S31</f>
        <v>6640375</v>
      </c>
    </row>
    <row r="32" spans="1:23" x14ac:dyDescent="0.25">
      <c r="A32" s="61"/>
      <c r="B32" s="51" t="s">
        <v>289</v>
      </c>
      <c r="C32" s="42">
        <v>24</v>
      </c>
      <c r="D32" s="42">
        <v>40721</v>
      </c>
      <c r="E32" s="42">
        <f t="shared" si="17"/>
        <v>977304</v>
      </c>
      <c r="F32" s="42">
        <f t="shared" si="12"/>
        <v>14375</v>
      </c>
      <c r="G32" s="42">
        <f t="shared" si="13"/>
        <v>345000</v>
      </c>
      <c r="H32" s="62">
        <v>13347.1</v>
      </c>
      <c r="I32" s="63">
        <v>1.4</v>
      </c>
      <c r="J32" s="42">
        <f t="shared" si="14"/>
        <v>18685.939999999999</v>
      </c>
      <c r="K32" s="42">
        <f t="shared" si="18"/>
        <v>448463</v>
      </c>
      <c r="L32" s="42"/>
      <c r="M32" s="42"/>
      <c r="N32" s="42"/>
      <c r="O32" s="42"/>
      <c r="P32" s="42">
        <f t="shared" si="19"/>
        <v>73781.94</v>
      </c>
      <c r="Q32" s="58"/>
      <c r="R32" s="42">
        <f t="shared" si="24"/>
        <v>1770767</v>
      </c>
      <c r="S32" s="42"/>
      <c r="T32" s="169">
        <f t="shared" si="25"/>
        <v>1770767</v>
      </c>
    </row>
    <row r="33" spans="1:23" ht="51.75" x14ac:dyDescent="0.25">
      <c r="A33" s="61" t="s">
        <v>60</v>
      </c>
      <c r="B33" s="51" t="s">
        <v>65</v>
      </c>
      <c r="C33" s="42"/>
      <c r="D33" s="42"/>
      <c r="E33" s="42"/>
      <c r="F33" s="42">
        <f t="shared" si="12"/>
        <v>0</v>
      </c>
      <c r="G33" s="42"/>
      <c r="H33" s="62"/>
      <c r="I33" s="63">
        <v>1.4</v>
      </c>
      <c r="J33" s="42"/>
      <c r="K33" s="42"/>
      <c r="L33" s="42"/>
      <c r="M33" s="42"/>
      <c r="N33" s="42"/>
      <c r="O33" s="42"/>
      <c r="P33" s="42"/>
      <c r="Q33" s="58"/>
      <c r="R33" s="42"/>
      <c r="S33" s="42"/>
      <c r="T33" s="168"/>
    </row>
    <row r="34" spans="1:23" x14ac:dyDescent="0.25">
      <c r="A34" s="61"/>
      <c r="B34" s="51" t="s">
        <v>27</v>
      </c>
      <c r="C34" s="42"/>
      <c r="D34" s="42">
        <v>90489</v>
      </c>
      <c r="E34" s="42">
        <f t="shared" si="17"/>
        <v>0</v>
      </c>
      <c r="F34" s="42">
        <f t="shared" si="12"/>
        <v>31943</v>
      </c>
      <c r="G34" s="42">
        <f t="shared" si="13"/>
        <v>0</v>
      </c>
      <c r="H34" s="62">
        <v>13347.1</v>
      </c>
      <c r="I34" s="63">
        <v>1.4</v>
      </c>
      <c r="J34" s="42">
        <f t="shared" si="14"/>
        <v>18685.939999999999</v>
      </c>
      <c r="K34" s="42">
        <f t="shared" si="18"/>
        <v>0</v>
      </c>
      <c r="L34" s="42"/>
      <c r="M34" s="42"/>
      <c r="N34" s="42"/>
      <c r="O34" s="42"/>
      <c r="P34" s="42">
        <f t="shared" si="19"/>
        <v>141117.94</v>
      </c>
      <c r="Q34" s="58"/>
      <c r="R34" s="42">
        <f t="shared" ref="R34" si="26">E34+G34+K34+O34</f>
        <v>0</v>
      </c>
      <c r="S34" s="42"/>
      <c r="T34" s="169">
        <f t="shared" ref="T34" si="27">R34+S34</f>
        <v>0</v>
      </c>
    </row>
    <row r="35" spans="1:23" x14ac:dyDescent="0.25">
      <c r="A35" s="61"/>
      <c r="B35" s="51" t="s">
        <v>28</v>
      </c>
      <c r="C35" s="42">
        <v>10</v>
      </c>
      <c r="D35" s="42">
        <v>54293</v>
      </c>
      <c r="E35" s="42">
        <f t="shared" si="17"/>
        <v>542930</v>
      </c>
      <c r="F35" s="42">
        <f t="shared" si="12"/>
        <v>19165</v>
      </c>
      <c r="G35" s="42">
        <f t="shared" si="13"/>
        <v>191650</v>
      </c>
      <c r="H35" s="62">
        <v>13347.1</v>
      </c>
      <c r="I35" s="63">
        <v>1.4</v>
      </c>
      <c r="J35" s="42">
        <f t="shared" si="14"/>
        <v>18685.939999999999</v>
      </c>
      <c r="K35" s="42">
        <f t="shared" si="18"/>
        <v>186859</v>
      </c>
      <c r="L35" s="42"/>
      <c r="M35" s="42"/>
      <c r="N35" s="42"/>
      <c r="O35" s="42"/>
      <c r="P35" s="42">
        <f t="shared" si="19"/>
        <v>92143.94</v>
      </c>
      <c r="Q35" s="58"/>
      <c r="R35" s="42">
        <f t="shared" ref="R35:R36" si="28">E35+G35+K35+O35</f>
        <v>921439</v>
      </c>
      <c r="S35" s="42"/>
      <c r="T35" s="169">
        <f t="shared" ref="T35:T36" si="29">R35+S35</f>
        <v>921439</v>
      </c>
    </row>
    <row r="36" spans="1:23" x14ac:dyDescent="0.25">
      <c r="A36" s="61"/>
      <c r="B36" s="51" t="s">
        <v>29</v>
      </c>
      <c r="C36" s="42">
        <v>12</v>
      </c>
      <c r="D36" s="42">
        <v>54293</v>
      </c>
      <c r="E36" s="42">
        <f t="shared" si="17"/>
        <v>651516</v>
      </c>
      <c r="F36" s="42">
        <f t="shared" si="12"/>
        <v>19165</v>
      </c>
      <c r="G36" s="42">
        <f t="shared" si="13"/>
        <v>229980</v>
      </c>
      <c r="H36" s="62">
        <v>13347.1</v>
      </c>
      <c r="I36" s="63">
        <v>1.4</v>
      </c>
      <c r="J36" s="42">
        <f t="shared" si="14"/>
        <v>18685.939999999999</v>
      </c>
      <c r="K36" s="42">
        <f t="shared" si="18"/>
        <v>224231</v>
      </c>
      <c r="L36" s="42"/>
      <c r="M36" s="42"/>
      <c r="N36" s="42"/>
      <c r="O36" s="42"/>
      <c r="P36" s="42">
        <f t="shared" si="19"/>
        <v>92143.94</v>
      </c>
      <c r="Q36" s="58"/>
      <c r="R36" s="42">
        <f t="shared" si="28"/>
        <v>1105727</v>
      </c>
      <c r="S36" s="42"/>
      <c r="T36" s="169">
        <f t="shared" si="29"/>
        <v>1105727</v>
      </c>
    </row>
    <row r="37" spans="1:23" ht="51.75" x14ac:dyDescent="0.25">
      <c r="A37" s="61"/>
      <c r="B37" s="51" t="s">
        <v>291</v>
      </c>
      <c r="C37" s="42"/>
      <c r="D37" s="42"/>
      <c r="E37" s="42"/>
      <c r="F37" s="42">
        <f t="shared" si="12"/>
        <v>0</v>
      </c>
      <c r="G37" s="42"/>
      <c r="H37" s="42"/>
      <c r="I37" s="63">
        <v>1.4</v>
      </c>
      <c r="J37" s="42"/>
      <c r="K37" s="42"/>
      <c r="L37" s="42"/>
      <c r="M37" s="42"/>
      <c r="N37" s="42"/>
      <c r="O37" s="42"/>
      <c r="P37" s="42"/>
      <c r="Q37" s="58"/>
      <c r="R37" s="42"/>
      <c r="S37" s="42"/>
      <c r="T37" s="168"/>
    </row>
    <row r="38" spans="1:23" x14ac:dyDescent="0.25">
      <c r="A38" s="61"/>
      <c r="B38" s="51" t="s">
        <v>316</v>
      </c>
      <c r="C38" s="42">
        <v>8</v>
      </c>
      <c r="D38" s="42">
        <v>83106</v>
      </c>
      <c r="E38" s="42">
        <f t="shared" si="17"/>
        <v>664848</v>
      </c>
      <c r="F38" s="42">
        <f t="shared" si="12"/>
        <v>29336</v>
      </c>
      <c r="G38" s="42">
        <f t="shared" si="13"/>
        <v>234688</v>
      </c>
      <c r="H38" s="62">
        <v>13347.1</v>
      </c>
      <c r="I38" s="63">
        <v>1.4</v>
      </c>
      <c r="J38" s="42">
        <f t="shared" si="14"/>
        <v>18685.939999999999</v>
      </c>
      <c r="K38" s="42">
        <f>ROUND(C38*J38,0)+105859</f>
        <v>255347</v>
      </c>
      <c r="L38" s="42"/>
      <c r="M38" s="42"/>
      <c r="N38" s="42"/>
      <c r="O38" s="42"/>
      <c r="P38" s="42">
        <f t="shared" si="19"/>
        <v>131127.94</v>
      </c>
      <c r="Q38" s="58"/>
      <c r="R38" s="42">
        <f t="shared" ref="R38" si="30">E38+G38+K38+O38</f>
        <v>1154883</v>
      </c>
      <c r="S38" s="42"/>
      <c r="T38" s="169">
        <f t="shared" ref="T38" si="31">R38+S38</f>
        <v>1154883</v>
      </c>
    </row>
    <row r="39" spans="1:23" x14ac:dyDescent="0.25">
      <c r="A39" s="61" t="s">
        <v>61</v>
      </c>
      <c r="B39" s="51" t="s">
        <v>13</v>
      </c>
      <c r="C39" s="42">
        <v>195</v>
      </c>
      <c r="D39" s="42"/>
      <c r="E39" s="42"/>
      <c r="F39" s="42"/>
      <c r="G39" s="42"/>
      <c r="H39" s="42"/>
      <c r="I39" s="42"/>
      <c r="J39" s="42"/>
      <c r="K39" s="42"/>
      <c r="L39" s="63">
        <v>3605.27</v>
      </c>
      <c r="M39" s="63">
        <v>1.383</v>
      </c>
      <c r="N39" s="42">
        <f t="shared" ref="N39" si="32">L39*M39</f>
        <v>4986.0884100000003</v>
      </c>
      <c r="O39" s="42">
        <f>ROUND(C39*N39,0)</f>
        <v>972287</v>
      </c>
      <c r="P39" s="42">
        <f t="shared" si="19"/>
        <v>4986.0884100000003</v>
      </c>
      <c r="Q39" s="58"/>
      <c r="R39" s="42">
        <f t="shared" ref="R39" si="33">E39+G39+K39+O39</f>
        <v>972287</v>
      </c>
      <c r="S39" s="42"/>
      <c r="T39" s="169">
        <f t="shared" ref="T39:T40" si="34">R39+S39</f>
        <v>972287</v>
      </c>
    </row>
    <row r="40" spans="1:23" x14ac:dyDescent="0.25">
      <c r="A40" s="85"/>
      <c r="B40" s="86" t="s">
        <v>315</v>
      </c>
      <c r="C40" s="75">
        <f>C26+C27+C28+C30+C31+C32+C35+C36+C38</f>
        <v>195</v>
      </c>
      <c r="D40" s="75"/>
      <c r="E40" s="75">
        <f>E26+E27+E28+E30+E31+E32+E35+E36+E38</f>
        <v>9723000</v>
      </c>
      <c r="F40" s="75"/>
      <c r="G40" s="75">
        <f>G26+G27+G28+G30+G31+G32+G35+G36+G38</f>
        <v>3410096</v>
      </c>
      <c r="H40" s="75"/>
      <c r="I40" s="75"/>
      <c r="J40" s="75"/>
      <c r="K40" s="75">
        <f>K26+K27+K28+K30+K31+K32+K35+K36+K38</f>
        <v>3749617</v>
      </c>
      <c r="L40" s="75"/>
      <c r="M40" s="87"/>
      <c r="N40" s="75"/>
      <c r="O40" s="75">
        <f>O26+O27+O28+O30+O31+O32+O35+O36+O38+O39</f>
        <v>972287</v>
      </c>
      <c r="P40" s="75"/>
      <c r="Q40" s="75"/>
      <c r="R40" s="75">
        <f>E40+G40+K40+O40</f>
        <v>17855000</v>
      </c>
      <c r="S40" s="75">
        <v>206000</v>
      </c>
      <c r="T40" s="170">
        <f t="shared" si="34"/>
        <v>18061000</v>
      </c>
      <c r="U40" s="180"/>
      <c r="V40" s="180"/>
    </row>
    <row r="41" spans="1:23" s="60" customFormat="1" x14ac:dyDescent="0.25">
      <c r="A41" s="56">
        <v>3</v>
      </c>
      <c r="B41" s="57" t="s">
        <v>32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42"/>
      <c r="Q41" s="58"/>
      <c r="R41" s="58"/>
      <c r="S41" s="58"/>
      <c r="T41" s="168"/>
      <c r="U41" s="68"/>
      <c r="V41" s="66"/>
      <c r="W41" s="66"/>
    </row>
    <row r="42" spans="1:23" ht="39" x14ac:dyDescent="0.25">
      <c r="A42" s="61" t="s">
        <v>93</v>
      </c>
      <c r="B42" s="51" t="s">
        <v>47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8"/>
      <c r="R42" s="42"/>
      <c r="S42" s="42"/>
      <c r="T42" s="168"/>
    </row>
    <row r="43" spans="1:23" x14ac:dyDescent="0.25">
      <c r="A43" s="61"/>
      <c r="B43" s="51" t="s">
        <v>287</v>
      </c>
      <c r="C43" s="42">
        <v>15</v>
      </c>
      <c r="D43" s="42">
        <v>77562</v>
      </c>
      <c r="E43" s="42">
        <f>C43*D43+33749</f>
        <v>1197179</v>
      </c>
      <c r="F43" s="42">
        <f t="shared" ref="F43:F49" si="35">ROUND(D43*35.3%,0)</f>
        <v>27379</v>
      </c>
      <c r="G43" s="42">
        <f t="shared" ref="G43" si="36">C43*F43</f>
        <v>410685</v>
      </c>
      <c r="H43" s="62">
        <v>13347.1</v>
      </c>
      <c r="I43" s="63">
        <v>2.46</v>
      </c>
      <c r="J43" s="42">
        <f t="shared" ref="J43" si="37">H43*I43</f>
        <v>32833.866000000002</v>
      </c>
      <c r="K43" s="42">
        <f>ROUND(C43*J43,0)</f>
        <v>492508</v>
      </c>
      <c r="L43" s="42"/>
      <c r="M43" s="42"/>
      <c r="N43" s="42"/>
      <c r="O43" s="42"/>
      <c r="P43" s="42">
        <f t="shared" ref="P43" si="38">D43+F43+J43+N43</f>
        <v>137774.86600000001</v>
      </c>
      <c r="Q43" s="58"/>
      <c r="R43" s="42">
        <f t="shared" ref="R43" si="39">E43+G43+K43+O43</f>
        <v>2100372</v>
      </c>
      <c r="S43" s="42"/>
      <c r="T43" s="169">
        <f t="shared" ref="T43" si="40">R43+S43</f>
        <v>2100372</v>
      </c>
    </row>
    <row r="44" spans="1:23" x14ac:dyDescent="0.25">
      <c r="A44" s="61"/>
      <c r="B44" s="51" t="s">
        <v>28</v>
      </c>
      <c r="C44" s="42"/>
      <c r="D44" s="42"/>
      <c r="E44" s="42"/>
      <c r="F44" s="42">
        <f t="shared" si="35"/>
        <v>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8"/>
      <c r="R44" s="42"/>
      <c r="S44" s="42"/>
      <c r="T44" s="168"/>
    </row>
    <row r="45" spans="1:23" x14ac:dyDescent="0.25">
      <c r="A45" s="61"/>
      <c r="B45" s="51" t="s">
        <v>29</v>
      </c>
      <c r="C45" s="42"/>
      <c r="D45" s="42"/>
      <c r="E45" s="42"/>
      <c r="F45" s="42">
        <f t="shared" si="35"/>
        <v>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8"/>
      <c r="R45" s="42"/>
      <c r="S45" s="42"/>
      <c r="T45" s="168"/>
    </row>
    <row r="46" spans="1:23" ht="39" x14ac:dyDescent="0.25">
      <c r="A46" s="61" t="s">
        <v>94</v>
      </c>
      <c r="B46" s="51" t="s">
        <v>48</v>
      </c>
      <c r="C46" s="42"/>
      <c r="D46" s="42"/>
      <c r="E46" s="42"/>
      <c r="F46" s="42">
        <f t="shared" si="35"/>
        <v>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58"/>
      <c r="R46" s="42"/>
      <c r="S46" s="42"/>
      <c r="T46" s="168"/>
    </row>
    <row r="47" spans="1:23" x14ac:dyDescent="0.25">
      <c r="A47" s="61"/>
      <c r="B47" s="51" t="s">
        <v>287</v>
      </c>
      <c r="C47" s="42">
        <v>0</v>
      </c>
      <c r="D47" s="42">
        <v>67868</v>
      </c>
      <c r="E47" s="42">
        <f t="shared" ref="E47:E49" si="41">C47*D47</f>
        <v>0</v>
      </c>
      <c r="F47" s="42">
        <f t="shared" si="35"/>
        <v>23957</v>
      </c>
      <c r="G47" s="42">
        <f t="shared" ref="G47:G49" si="42">C47*F47</f>
        <v>0</v>
      </c>
      <c r="H47" s="62">
        <v>13347.1</v>
      </c>
      <c r="I47" s="63">
        <v>2.46</v>
      </c>
      <c r="J47" s="42">
        <f t="shared" ref="J47:J49" si="43">H47*I47</f>
        <v>32833.866000000002</v>
      </c>
      <c r="K47" s="42">
        <f t="shared" ref="K47:K50" si="44">ROUND(C47*J47,0)</f>
        <v>0</v>
      </c>
      <c r="L47" s="42"/>
      <c r="M47" s="42"/>
      <c r="N47" s="42"/>
      <c r="O47" s="42"/>
      <c r="P47" s="42">
        <f t="shared" ref="P47:P53" si="45">D47+F47+J47+N47</f>
        <v>124658.86600000001</v>
      </c>
      <c r="Q47" s="58"/>
      <c r="R47" s="42">
        <f t="shared" ref="R47:R53" si="46">E47+G47+K47+O47</f>
        <v>0</v>
      </c>
      <c r="S47" s="42"/>
      <c r="T47" s="169">
        <f t="shared" ref="T47:T54" si="47">R47+S47</f>
        <v>0</v>
      </c>
    </row>
    <row r="48" spans="1:23" x14ac:dyDescent="0.25">
      <c r="A48" s="61"/>
      <c r="B48" s="51" t="s">
        <v>28</v>
      </c>
      <c r="C48" s="42">
        <v>80</v>
      </c>
      <c r="D48" s="42">
        <v>40721</v>
      </c>
      <c r="E48" s="42">
        <f t="shared" si="41"/>
        <v>3257680</v>
      </c>
      <c r="F48" s="42">
        <f t="shared" si="35"/>
        <v>14375</v>
      </c>
      <c r="G48" s="42">
        <f t="shared" si="42"/>
        <v>1150000</v>
      </c>
      <c r="H48" s="62">
        <v>13347.1</v>
      </c>
      <c r="I48" s="63">
        <v>2.46</v>
      </c>
      <c r="J48" s="42">
        <f t="shared" si="43"/>
        <v>32833.866000000002</v>
      </c>
      <c r="K48" s="42">
        <f t="shared" si="44"/>
        <v>2626709</v>
      </c>
      <c r="L48" s="42"/>
      <c r="M48" s="42"/>
      <c r="N48" s="42"/>
      <c r="O48" s="42"/>
      <c r="P48" s="42">
        <f t="shared" si="45"/>
        <v>87929.866000000009</v>
      </c>
      <c r="Q48" s="58"/>
      <c r="R48" s="42">
        <f t="shared" si="46"/>
        <v>7034389</v>
      </c>
      <c r="S48" s="42"/>
      <c r="T48" s="169">
        <f t="shared" si="47"/>
        <v>7034389</v>
      </c>
    </row>
    <row r="49" spans="1:23" x14ac:dyDescent="0.25">
      <c r="A49" s="61"/>
      <c r="B49" s="51" t="s">
        <v>289</v>
      </c>
      <c r="C49" s="42">
        <v>21</v>
      </c>
      <c r="D49" s="42">
        <v>40721</v>
      </c>
      <c r="E49" s="42">
        <f t="shared" si="41"/>
        <v>855141</v>
      </c>
      <c r="F49" s="42">
        <f t="shared" si="35"/>
        <v>14375</v>
      </c>
      <c r="G49" s="42">
        <f t="shared" si="42"/>
        <v>301875</v>
      </c>
      <c r="H49" s="62">
        <v>13347.1</v>
      </c>
      <c r="I49" s="63">
        <v>2.46</v>
      </c>
      <c r="J49" s="42">
        <f t="shared" si="43"/>
        <v>32833.866000000002</v>
      </c>
      <c r="K49" s="42">
        <f>ROUND(C49*J49,0)+65633</f>
        <v>755144</v>
      </c>
      <c r="L49" s="42"/>
      <c r="M49" s="42"/>
      <c r="N49" s="42"/>
      <c r="O49" s="42"/>
      <c r="P49" s="42">
        <f t="shared" si="45"/>
        <v>87929.866000000009</v>
      </c>
      <c r="Q49" s="58"/>
      <c r="R49" s="42">
        <f t="shared" si="46"/>
        <v>1912160</v>
      </c>
      <c r="S49" s="42"/>
      <c r="T49" s="169">
        <f t="shared" si="47"/>
        <v>1912160</v>
      </c>
    </row>
    <row r="50" spans="1:23" x14ac:dyDescent="0.25">
      <c r="A50" s="61" t="s">
        <v>95</v>
      </c>
      <c r="B50" s="51" t="s">
        <v>13</v>
      </c>
      <c r="C50" s="42">
        <v>116</v>
      </c>
      <c r="D50" s="42"/>
      <c r="E50" s="42"/>
      <c r="F50" s="42"/>
      <c r="G50" s="42"/>
      <c r="H50" s="42"/>
      <c r="I50" s="63"/>
      <c r="J50" s="42"/>
      <c r="K50" s="42">
        <f t="shared" si="44"/>
        <v>0</v>
      </c>
      <c r="L50" s="63">
        <v>3605.27</v>
      </c>
      <c r="M50" s="63">
        <v>1.454</v>
      </c>
      <c r="N50" s="42">
        <f t="shared" ref="N50" si="48">L50*M50</f>
        <v>5242.0625799999998</v>
      </c>
      <c r="O50" s="42">
        <f>ROUND(C50*N50,0)</f>
        <v>608079</v>
      </c>
      <c r="P50" s="42">
        <f t="shared" si="45"/>
        <v>5242.0625799999998</v>
      </c>
      <c r="Q50" s="58"/>
      <c r="R50" s="42">
        <f t="shared" si="46"/>
        <v>608079</v>
      </c>
      <c r="S50" s="42"/>
      <c r="T50" s="169">
        <f t="shared" si="47"/>
        <v>608079</v>
      </c>
    </row>
    <row r="51" spans="1:23" s="60" customFormat="1" hidden="1" x14ac:dyDescent="0.25">
      <c r="A51" s="56"/>
      <c r="B51" s="51" t="s">
        <v>27</v>
      </c>
      <c r="C51" s="58"/>
      <c r="D51" s="58"/>
      <c r="E51" s="58"/>
      <c r="F51" s="42"/>
      <c r="G51" s="58"/>
      <c r="H51" s="42"/>
      <c r="I51" s="63"/>
      <c r="J51" s="42"/>
      <c r="K51" s="42"/>
      <c r="L51" s="42"/>
      <c r="M51" s="42"/>
      <c r="N51" s="42"/>
      <c r="O51" s="42"/>
      <c r="P51" s="42">
        <f t="shared" si="45"/>
        <v>0</v>
      </c>
      <c r="Q51" s="58"/>
      <c r="R51" s="42">
        <f t="shared" si="46"/>
        <v>0</v>
      </c>
      <c r="S51" s="58"/>
      <c r="T51" s="169">
        <f t="shared" si="47"/>
        <v>0</v>
      </c>
      <c r="U51" s="68"/>
      <c r="V51" s="66"/>
      <c r="W51" s="66"/>
    </row>
    <row r="52" spans="1:23" hidden="1" x14ac:dyDescent="0.25">
      <c r="A52" s="61"/>
      <c r="B52" s="51" t="s">
        <v>28</v>
      </c>
      <c r="C52" s="42"/>
      <c r="D52" s="42"/>
      <c r="E52" s="42"/>
      <c r="F52" s="42"/>
      <c r="G52" s="42"/>
      <c r="H52" s="42"/>
      <c r="I52" s="63"/>
      <c r="J52" s="42"/>
      <c r="K52" s="42"/>
      <c r="L52" s="42"/>
      <c r="M52" s="42"/>
      <c r="N52" s="42"/>
      <c r="O52" s="42"/>
      <c r="P52" s="42">
        <f t="shared" si="45"/>
        <v>0</v>
      </c>
      <c r="Q52" s="58"/>
      <c r="R52" s="42">
        <f t="shared" si="46"/>
        <v>0</v>
      </c>
      <c r="S52" s="42"/>
      <c r="T52" s="169">
        <f t="shared" si="47"/>
        <v>0</v>
      </c>
    </row>
    <row r="53" spans="1:23" hidden="1" x14ac:dyDescent="0.25">
      <c r="A53" s="61"/>
      <c r="B53" s="51" t="s">
        <v>29</v>
      </c>
      <c r="C53" s="42"/>
      <c r="D53" s="42"/>
      <c r="E53" s="42"/>
      <c r="F53" s="42"/>
      <c r="G53" s="42"/>
      <c r="H53" s="42"/>
      <c r="I53" s="63"/>
      <c r="J53" s="42"/>
      <c r="K53" s="42"/>
      <c r="L53" s="42"/>
      <c r="M53" s="42"/>
      <c r="N53" s="42"/>
      <c r="O53" s="42"/>
      <c r="P53" s="42">
        <f t="shared" si="45"/>
        <v>0</v>
      </c>
      <c r="Q53" s="58"/>
      <c r="R53" s="42">
        <f t="shared" si="46"/>
        <v>0</v>
      </c>
      <c r="S53" s="42"/>
      <c r="T53" s="169">
        <f t="shared" si="47"/>
        <v>0</v>
      </c>
    </row>
    <row r="54" spans="1:23" x14ac:dyDescent="0.25">
      <c r="A54" s="61"/>
      <c r="B54" s="86" t="s">
        <v>315</v>
      </c>
      <c r="C54" s="75">
        <f>C43+C47+C48+C49</f>
        <v>116</v>
      </c>
      <c r="D54" s="42"/>
      <c r="E54" s="75">
        <f>E43+E47+E48+E49</f>
        <v>5310000</v>
      </c>
      <c r="F54" s="42"/>
      <c r="G54" s="75">
        <f>G43+G47+G48+G49</f>
        <v>1862560</v>
      </c>
      <c r="H54" s="42"/>
      <c r="I54" s="63"/>
      <c r="J54" s="75"/>
      <c r="K54" s="75">
        <f>K43+K47+K48+K49</f>
        <v>3874361</v>
      </c>
      <c r="L54" s="42"/>
      <c r="M54" s="42"/>
      <c r="N54" s="75"/>
      <c r="O54" s="75">
        <f>O43+O47+O48+O49+O50</f>
        <v>608079</v>
      </c>
      <c r="P54" s="42"/>
      <c r="Q54" s="58"/>
      <c r="R54" s="75">
        <f>E54+G54+K54+O54</f>
        <v>11655000</v>
      </c>
      <c r="S54" s="75">
        <v>63000</v>
      </c>
      <c r="T54" s="170">
        <f t="shared" si="47"/>
        <v>11718000</v>
      </c>
      <c r="U54" s="181"/>
      <c r="V54" s="180"/>
    </row>
    <row r="55" spans="1:23" s="60" customFormat="1" x14ac:dyDescent="0.25">
      <c r="A55" s="56">
        <v>4</v>
      </c>
      <c r="B55" s="57" t="s">
        <v>33</v>
      </c>
      <c r="C55" s="58"/>
      <c r="D55" s="58"/>
      <c r="E55" s="58"/>
      <c r="F55" s="42"/>
      <c r="G55" s="58"/>
      <c r="H55" s="58"/>
      <c r="I55" s="58"/>
      <c r="J55" s="58"/>
      <c r="K55" s="58"/>
      <c r="L55" s="58"/>
      <c r="M55" s="76"/>
      <c r="N55" s="58"/>
      <c r="O55" s="58"/>
      <c r="P55" s="42"/>
      <c r="Q55" s="58"/>
      <c r="R55" s="58"/>
      <c r="S55" s="58"/>
      <c r="T55" s="168"/>
      <c r="U55" s="68"/>
      <c r="V55" s="66"/>
      <c r="W55" s="66"/>
    </row>
    <row r="56" spans="1:23" ht="39" x14ac:dyDescent="0.25">
      <c r="A56" s="61" t="s">
        <v>96</v>
      </c>
      <c r="B56" s="51" t="s">
        <v>47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58"/>
      <c r="R56" s="42"/>
      <c r="S56" s="42"/>
      <c r="T56" s="168"/>
    </row>
    <row r="57" spans="1:23" x14ac:dyDescent="0.25">
      <c r="A57" s="61"/>
      <c r="B57" s="51" t="s">
        <v>287</v>
      </c>
      <c r="C57" s="42">
        <v>15</v>
      </c>
      <c r="D57" s="42">
        <v>77562</v>
      </c>
      <c r="E57" s="42">
        <f>C57*D57+40697</f>
        <v>1204127</v>
      </c>
      <c r="F57" s="42">
        <f t="shared" ref="F57:F63" si="49">ROUND(D57*35.3%,0)</f>
        <v>27379</v>
      </c>
      <c r="G57" s="42">
        <f>C57*F57</f>
        <v>410685</v>
      </c>
      <c r="H57" s="62">
        <v>13347.1</v>
      </c>
      <c r="I57" s="63">
        <v>1.34</v>
      </c>
      <c r="J57" s="42">
        <f t="shared" ref="J57" si="50">H57*I57</f>
        <v>17885.114000000001</v>
      </c>
      <c r="K57" s="42">
        <f>ROUND(C57*J57,0)</f>
        <v>268277</v>
      </c>
      <c r="L57" s="42"/>
      <c r="M57" s="42"/>
      <c r="N57" s="42"/>
      <c r="O57" s="42"/>
      <c r="P57" s="42">
        <f t="shared" ref="P57:P64" si="51">D57+F57+J57+N57</f>
        <v>122826.114</v>
      </c>
      <c r="Q57" s="58"/>
      <c r="R57" s="42"/>
      <c r="S57" s="42"/>
      <c r="T57" s="168"/>
    </row>
    <row r="58" spans="1:23" x14ac:dyDescent="0.25">
      <c r="A58" s="61"/>
      <c r="B58" s="51" t="s">
        <v>28</v>
      </c>
      <c r="C58" s="42">
        <v>10</v>
      </c>
      <c r="D58" s="42">
        <v>46539</v>
      </c>
      <c r="E58" s="42">
        <f>C58*D58</f>
        <v>465390</v>
      </c>
      <c r="F58" s="42">
        <f t="shared" si="49"/>
        <v>16428</v>
      </c>
      <c r="G58" s="42">
        <f t="shared" ref="G58:G63" si="52">C58*F58</f>
        <v>164280</v>
      </c>
      <c r="H58" s="62">
        <v>13347.1</v>
      </c>
      <c r="I58" s="63">
        <v>1.34</v>
      </c>
      <c r="J58" s="42">
        <f t="shared" ref="J58:J59" si="53">H58*I58</f>
        <v>17885.114000000001</v>
      </c>
      <c r="K58" s="42">
        <f t="shared" ref="K58:K59" si="54">ROUND(C58*J58,0)</f>
        <v>178851</v>
      </c>
      <c r="L58" s="42"/>
      <c r="M58" s="42"/>
      <c r="N58" s="42"/>
      <c r="O58" s="42"/>
      <c r="P58" s="42">
        <f t="shared" si="51"/>
        <v>80852.114000000001</v>
      </c>
      <c r="Q58" s="58"/>
      <c r="R58" s="42"/>
      <c r="S58" s="42"/>
      <c r="T58" s="168"/>
    </row>
    <row r="59" spans="1:23" x14ac:dyDescent="0.25">
      <c r="A59" s="61"/>
      <c r="B59" s="51" t="s">
        <v>29</v>
      </c>
      <c r="C59" s="42">
        <v>14</v>
      </c>
      <c r="D59" s="42">
        <v>46539</v>
      </c>
      <c r="E59" s="42">
        <f>C59*D59</f>
        <v>651546</v>
      </c>
      <c r="F59" s="42">
        <f t="shared" si="49"/>
        <v>16428</v>
      </c>
      <c r="G59" s="42">
        <f t="shared" si="52"/>
        <v>229992</v>
      </c>
      <c r="H59" s="62">
        <v>13347.1</v>
      </c>
      <c r="I59" s="63">
        <v>1.34</v>
      </c>
      <c r="J59" s="42">
        <f t="shared" si="53"/>
        <v>17885.114000000001</v>
      </c>
      <c r="K59" s="42">
        <f t="shared" si="54"/>
        <v>250392</v>
      </c>
      <c r="L59" s="42"/>
      <c r="M59" s="42"/>
      <c r="N59" s="42"/>
      <c r="O59" s="42"/>
      <c r="P59" s="42">
        <f t="shared" si="51"/>
        <v>80852.114000000001</v>
      </c>
      <c r="Q59" s="58"/>
      <c r="R59" s="42"/>
      <c r="S59" s="42"/>
      <c r="T59" s="168"/>
    </row>
    <row r="60" spans="1:23" ht="39" x14ac:dyDescent="0.25">
      <c r="A60" s="61" t="s">
        <v>97</v>
      </c>
      <c r="B60" s="51" t="s">
        <v>45</v>
      </c>
      <c r="C60" s="42"/>
      <c r="D60" s="42"/>
      <c r="E60" s="42"/>
      <c r="F60" s="42">
        <f t="shared" si="49"/>
        <v>0</v>
      </c>
      <c r="G60" s="42"/>
      <c r="H60" s="42"/>
      <c r="I60" s="63">
        <v>1.34</v>
      </c>
      <c r="J60" s="42"/>
      <c r="K60" s="42"/>
      <c r="L60" s="42"/>
      <c r="M60" s="42"/>
      <c r="N60" s="42"/>
      <c r="O60" s="42"/>
      <c r="P60" s="42"/>
      <c r="Q60" s="58"/>
      <c r="R60" s="42"/>
      <c r="S60" s="42"/>
      <c r="T60" s="168"/>
    </row>
    <row r="61" spans="1:23" x14ac:dyDescent="0.25">
      <c r="A61" s="61"/>
      <c r="B61" s="51" t="s">
        <v>27</v>
      </c>
      <c r="C61" s="42"/>
      <c r="D61" s="42">
        <v>67868</v>
      </c>
      <c r="E61" s="42">
        <f>C61*D61</f>
        <v>0</v>
      </c>
      <c r="F61" s="42">
        <f t="shared" si="49"/>
        <v>23957</v>
      </c>
      <c r="G61" s="42">
        <f t="shared" si="52"/>
        <v>0</v>
      </c>
      <c r="H61" s="62">
        <v>13347.1</v>
      </c>
      <c r="I61" s="63">
        <v>1.34</v>
      </c>
      <c r="J61" s="42">
        <f t="shared" ref="J61" si="55">H61*I61</f>
        <v>17885.114000000001</v>
      </c>
      <c r="K61" s="42">
        <f t="shared" ref="K61" si="56">ROUND(C61*J61,0)</f>
        <v>0</v>
      </c>
      <c r="L61" s="42"/>
      <c r="M61" s="42"/>
      <c r="N61" s="42"/>
      <c r="O61" s="42"/>
      <c r="P61" s="42">
        <f t="shared" si="51"/>
        <v>109710.114</v>
      </c>
      <c r="Q61" s="58"/>
      <c r="R61" s="42"/>
      <c r="S61" s="42"/>
      <c r="T61" s="168"/>
    </row>
    <row r="62" spans="1:23" x14ac:dyDescent="0.25">
      <c r="A62" s="61"/>
      <c r="B62" s="51" t="s">
        <v>28</v>
      </c>
      <c r="C62" s="42">
        <v>80</v>
      </c>
      <c r="D62" s="42">
        <v>40721</v>
      </c>
      <c r="E62" s="42">
        <f t="shared" ref="E62:E63" si="57">C62*D62</f>
        <v>3257680</v>
      </c>
      <c r="F62" s="42">
        <f t="shared" si="49"/>
        <v>14375</v>
      </c>
      <c r="G62" s="42">
        <f t="shared" si="52"/>
        <v>1150000</v>
      </c>
      <c r="H62" s="62">
        <v>13347.1</v>
      </c>
      <c r="I62" s="63">
        <v>1.34</v>
      </c>
      <c r="J62" s="42">
        <f t="shared" ref="J62:J63" si="58">H62*I62</f>
        <v>17885.114000000001</v>
      </c>
      <c r="K62" s="42">
        <f t="shared" ref="K62" si="59">ROUND(C62*J62,0)</f>
        <v>1430809</v>
      </c>
      <c r="L62" s="42"/>
      <c r="M62" s="42"/>
      <c r="N62" s="42"/>
      <c r="O62" s="42"/>
      <c r="P62" s="42">
        <f t="shared" si="51"/>
        <v>72981.114000000001</v>
      </c>
      <c r="Q62" s="58"/>
      <c r="R62" s="42"/>
      <c r="S62" s="42"/>
      <c r="T62" s="168"/>
    </row>
    <row r="63" spans="1:23" x14ac:dyDescent="0.25">
      <c r="A63" s="61"/>
      <c r="B63" s="51" t="s">
        <v>289</v>
      </c>
      <c r="C63" s="42">
        <v>17</v>
      </c>
      <c r="D63" s="42">
        <v>40721</v>
      </c>
      <c r="E63" s="42">
        <f t="shared" si="57"/>
        <v>692257</v>
      </c>
      <c r="F63" s="42">
        <f t="shared" si="49"/>
        <v>14375</v>
      </c>
      <c r="G63" s="42">
        <f t="shared" si="52"/>
        <v>244375</v>
      </c>
      <c r="H63" s="62">
        <v>13347.1</v>
      </c>
      <c r="I63" s="63">
        <v>1.34</v>
      </c>
      <c r="J63" s="42">
        <f t="shared" si="58"/>
        <v>17885.114000000001</v>
      </c>
      <c r="K63" s="42">
        <f>ROUND(C63*J63,0)+82327</f>
        <v>386374</v>
      </c>
      <c r="L63" s="42"/>
      <c r="M63" s="42"/>
      <c r="N63" s="42"/>
      <c r="O63" s="42"/>
      <c r="P63" s="42">
        <f t="shared" si="51"/>
        <v>72981.114000000001</v>
      </c>
      <c r="Q63" s="58"/>
      <c r="R63" s="42"/>
      <c r="S63" s="42"/>
      <c r="T63" s="168"/>
    </row>
    <row r="64" spans="1:23" x14ac:dyDescent="0.25">
      <c r="A64" s="61" t="s">
        <v>98</v>
      </c>
      <c r="B64" s="51" t="s">
        <v>13</v>
      </c>
      <c r="C64" s="42">
        <v>136</v>
      </c>
      <c r="D64" s="42"/>
      <c r="E64" s="42"/>
      <c r="F64" s="42"/>
      <c r="G64" s="42"/>
      <c r="H64" s="42"/>
      <c r="I64" s="42"/>
      <c r="J64" s="42"/>
      <c r="K64" s="42"/>
      <c r="L64" s="63">
        <v>3605.27</v>
      </c>
      <c r="M64" s="63">
        <v>1.5009999999999999</v>
      </c>
      <c r="N64" s="42">
        <f t="shared" ref="N64" si="60">L64*M64</f>
        <v>5411.5102699999998</v>
      </c>
      <c r="O64" s="42">
        <f>ROUND(C64*N64,0)</f>
        <v>735965</v>
      </c>
      <c r="P64" s="42">
        <f t="shared" si="51"/>
        <v>5411.5102699999998</v>
      </c>
      <c r="Q64" s="58"/>
      <c r="R64" s="42"/>
      <c r="S64" s="42"/>
      <c r="T64" s="168"/>
    </row>
    <row r="65" spans="1:23" s="60" customFormat="1" hidden="1" x14ac:dyDescent="0.25">
      <c r="A65" s="56"/>
      <c r="B65" s="51" t="s">
        <v>27</v>
      </c>
      <c r="C65" s="58"/>
      <c r="D65" s="58"/>
      <c r="E65" s="58"/>
      <c r="F65" s="42"/>
      <c r="G65" s="58"/>
      <c r="H65" s="42"/>
      <c r="I65" s="58"/>
      <c r="J65" s="42"/>
      <c r="K65" s="42"/>
      <c r="L65" s="42"/>
      <c r="M65" s="42"/>
      <c r="N65" s="42"/>
      <c r="O65" s="42"/>
      <c r="P65" s="42"/>
      <c r="Q65" s="58"/>
      <c r="R65" s="42"/>
      <c r="S65" s="58"/>
      <c r="T65" s="168"/>
      <c r="U65" s="68"/>
      <c r="V65" s="66"/>
      <c r="W65" s="66"/>
    </row>
    <row r="66" spans="1:23" hidden="1" x14ac:dyDescent="0.25">
      <c r="A66" s="61"/>
      <c r="B66" s="51" t="s">
        <v>28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58"/>
      <c r="R66" s="42"/>
      <c r="S66" s="42"/>
      <c r="T66" s="168"/>
    </row>
    <row r="67" spans="1:23" hidden="1" x14ac:dyDescent="0.25">
      <c r="A67" s="61"/>
      <c r="B67" s="51" t="s">
        <v>29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58"/>
      <c r="R67" s="42"/>
      <c r="S67" s="42"/>
      <c r="T67" s="168"/>
    </row>
    <row r="68" spans="1:23" x14ac:dyDescent="0.25">
      <c r="A68" s="88"/>
      <c r="B68" s="86" t="s">
        <v>315</v>
      </c>
      <c r="C68" s="75">
        <f>C57+C58+C59+C62+C63</f>
        <v>136</v>
      </c>
      <c r="D68" s="75"/>
      <c r="E68" s="75">
        <f>E57+E58+E59+E62+E63</f>
        <v>6271000</v>
      </c>
      <c r="F68" s="75"/>
      <c r="G68" s="75">
        <f>G57+G58+G59+G62+G63</f>
        <v>2199332</v>
      </c>
      <c r="H68" s="75"/>
      <c r="I68" s="75"/>
      <c r="J68" s="75"/>
      <c r="K68" s="75">
        <f>K57+K58+K59+K62+K63</f>
        <v>2514703</v>
      </c>
      <c r="L68" s="75"/>
      <c r="M68" s="75"/>
      <c r="N68" s="75"/>
      <c r="O68" s="75">
        <f>O57+O61+O62+O63+O64</f>
        <v>735965</v>
      </c>
      <c r="P68" s="75"/>
      <c r="Q68" s="75"/>
      <c r="R68" s="75">
        <f>E68+G68+K68+O68</f>
        <v>11721000</v>
      </c>
      <c r="S68" s="75">
        <v>110000</v>
      </c>
      <c r="T68" s="170">
        <f t="shared" ref="T68" si="61">R68+S68</f>
        <v>11831000</v>
      </c>
      <c r="U68" s="180"/>
      <c r="V68" s="180"/>
    </row>
    <row r="69" spans="1:23" s="60" customFormat="1" x14ac:dyDescent="0.25">
      <c r="A69" s="56">
        <v>5</v>
      </c>
      <c r="B69" s="57" t="s">
        <v>34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168"/>
      <c r="U69" s="182"/>
      <c r="V69" s="66"/>
      <c r="W69" s="66"/>
    </row>
    <row r="70" spans="1:23" ht="39" x14ac:dyDescent="0.25">
      <c r="A70" s="61" t="s">
        <v>99</v>
      </c>
      <c r="B70" s="51" t="s">
        <v>44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58"/>
      <c r="R70" s="42"/>
      <c r="S70" s="42"/>
      <c r="T70" s="168"/>
    </row>
    <row r="71" spans="1:23" x14ac:dyDescent="0.25">
      <c r="A71" s="61"/>
      <c r="B71" s="51" t="s">
        <v>287</v>
      </c>
      <c r="C71" s="42">
        <v>15</v>
      </c>
      <c r="D71" s="42">
        <v>77562</v>
      </c>
      <c r="E71" s="42">
        <f>C71*D71+40445</f>
        <v>1203875</v>
      </c>
      <c r="F71" s="42">
        <f t="shared" ref="F71:F77" si="62">ROUND(D71*35.3%,0)</f>
        <v>27379</v>
      </c>
      <c r="G71" s="42">
        <f>C71*F71</f>
        <v>410685</v>
      </c>
      <c r="H71" s="62">
        <v>13347.1</v>
      </c>
      <c r="I71" s="63">
        <v>1.2</v>
      </c>
      <c r="J71" s="42">
        <f t="shared" ref="J71" si="63">H71*I71</f>
        <v>16016.52</v>
      </c>
      <c r="K71" s="42">
        <f>ROUND(C71*J71,0)</f>
        <v>240248</v>
      </c>
      <c r="L71" s="42"/>
      <c r="M71" s="42"/>
      <c r="N71" s="42"/>
      <c r="O71" s="42"/>
      <c r="P71" s="42">
        <f t="shared" ref="P71:P78" si="64">D71+F71+J71+N71</f>
        <v>120957.52</v>
      </c>
      <c r="Q71" s="58"/>
      <c r="R71" s="42">
        <f t="shared" ref="R71" si="65">E71+G71+K71+O71</f>
        <v>1854808</v>
      </c>
      <c r="S71" s="42"/>
      <c r="T71" s="168"/>
    </row>
    <row r="72" spans="1:23" hidden="1" x14ac:dyDescent="0.25">
      <c r="A72" s="61"/>
      <c r="B72" s="51" t="s">
        <v>28</v>
      </c>
      <c r="C72" s="42"/>
      <c r="D72" s="42"/>
      <c r="E72" s="42"/>
      <c r="F72" s="42">
        <f t="shared" si="62"/>
        <v>0</v>
      </c>
      <c r="G72" s="42"/>
      <c r="H72" s="62">
        <v>11746.21</v>
      </c>
      <c r="I72" s="42"/>
      <c r="J72" s="42"/>
      <c r="K72" s="42"/>
      <c r="L72" s="42"/>
      <c r="M72" s="42"/>
      <c r="N72" s="42"/>
      <c r="O72" s="42"/>
      <c r="P72" s="42">
        <f t="shared" si="64"/>
        <v>0</v>
      </c>
      <c r="Q72" s="58"/>
      <c r="R72" s="42"/>
      <c r="S72" s="42"/>
      <c r="T72" s="168"/>
    </row>
    <row r="73" spans="1:23" hidden="1" x14ac:dyDescent="0.25">
      <c r="A73" s="61"/>
      <c r="B73" s="51" t="s">
        <v>29</v>
      </c>
      <c r="C73" s="42"/>
      <c r="D73" s="42"/>
      <c r="E73" s="42"/>
      <c r="F73" s="42">
        <f t="shared" si="62"/>
        <v>0</v>
      </c>
      <c r="G73" s="42"/>
      <c r="H73" s="62">
        <v>11746.21</v>
      </c>
      <c r="I73" s="42"/>
      <c r="J73" s="42"/>
      <c r="K73" s="42"/>
      <c r="L73" s="42"/>
      <c r="M73" s="42"/>
      <c r="N73" s="42"/>
      <c r="O73" s="42"/>
      <c r="P73" s="42">
        <f t="shared" si="64"/>
        <v>0</v>
      </c>
      <c r="Q73" s="58"/>
      <c r="R73" s="42"/>
      <c r="S73" s="42"/>
      <c r="T73" s="168"/>
    </row>
    <row r="74" spans="1:23" ht="39" x14ac:dyDescent="0.25">
      <c r="A74" s="61" t="s">
        <v>100</v>
      </c>
      <c r="B74" s="51" t="s">
        <v>45</v>
      </c>
      <c r="C74" s="42"/>
      <c r="D74" s="42"/>
      <c r="E74" s="42"/>
      <c r="F74" s="42">
        <f t="shared" si="62"/>
        <v>0</v>
      </c>
      <c r="G74" s="42"/>
      <c r="H74" s="62"/>
      <c r="I74" s="42"/>
      <c r="J74" s="42"/>
      <c r="K74" s="42"/>
      <c r="L74" s="42"/>
      <c r="M74" s="42"/>
      <c r="N74" s="42"/>
      <c r="O74" s="42"/>
      <c r="P74" s="42">
        <f t="shared" si="64"/>
        <v>0</v>
      </c>
      <c r="Q74" s="58"/>
      <c r="R74" s="42"/>
      <c r="S74" s="42"/>
      <c r="T74" s="168"/>
    </row>
    <row r="75" spans="1:23" hidden="1" x14ac:dyDescent="0.25">
      <c r="A75" s="61"/>
      <c r="B75" s="51" t="s">
        <v>287</v>
      </c>
      <c r="C75" s="42"/>
      <c r="D75" s="42"/>
      <c r="E75" s="42"/>
      <c r="F75" s="42">
        <f t="shared" si="62"/>
        <v>0</v>
      </c>
      <c r="G75" s="42"/>
      <c r="H75" s="62"/>
      <c r="I75" s="63"/>
      <c r="J75" s="42"/>
      <c r="K75" s="42"/>
      <c r="L75" s="42"/>
      <c r="M75" s="42"/>
      <c r="N75" s="42"/>
      <c r="O75" s="42"/>
      <c r="P75" s="42">
        <f t="shared" si="64"/>
        <v>0</v>
      </c>
      <c r="Q75" s="58"/>
      <c r="R75" s="42"/>
      <c r="S75" s="42"/>
      <c r="T75" s="168"/>
    </row>
    <row r="76" spans="1:23" x14ac:dyDescent="0.25">
      <c r="A76" s="61"/>
      <c r="B76" s="51" t="s">
        <v>28</v>
      </c>
      <c r="C76" s="42">
        <v>100</v>
      </c>
      <c r="D76" s="42">
        <v>40721</v>
      </c>
      <c r="E76" s="42">
        <f t="shared" ref="E76:E77" si="66">C76*D76</f>
        <v>4072100</v>
      </c>
      <c r="F76" s="42">
        <f t="shared" si="62"/>
        <v>14375</v>
      </c>
      <c r="G76" s="42">
        <f t="shared" ref="G76:G77" si="67">C76*F76</f>
        <v>1437500</v>
      </c>
      <c r="H76" s="62">
        <v>13347.1</v>
      </c>
      <c r="I76" s="63">
        <v>1.2</v>
      </c>
      <c r="J76" s="42">
        <f t="shared" ref="J76" si="68">H76*I76</f>
        <v>16016.52</v>
      </c>
      <c r="K76" s="42">
        <f t="shared" ref="K76" si="69">ROUND(C76*J76,0)</f>
        <v>1601652</v>
      </c>
      <c r="L76" s="42"/>
      <c r="M76" s="42"/>
      <c r="N76" s="42"/>
      <c r="O76" s="42"/>
      <c r="P76" s="42">
        <f t="shared" si="64"/>
        <v>71112.52</v>
      </c>
      <c r="Q76" s="58"/>
      <c r="R76" s="42">
        <f t="shared" ref="R76:R78" si="70">E76+G76+K76+O76</f>
        <v>7111252</v>
      </c>
      <c r="S76" s="42"/>
      <c r="T76" s="168"/>
    </row>
    <row r="77" spans="1:23" x14ac:dyDescent="0.25">
      <c r="A77" s="61"/>
      <c r="B77" s="51" t="s">
        <v>289</v>
      </c>
      <c r="C77" s="42">
        <v>25</v>
      </c>
      <c r="D77" s="42">
        <v>40721</v>
      </c>
      <c r="E77" s="42">
        <f t="shared" si="66"/>
        <v>1018025</v>
      </c>
      <c r="F77" s="42">
        <f t="shared" si="62"/>
        <v>14375</v>
      </c>
      <c r="G77" s="42">
        <f t="shared" si="67"/>
        <v>359375</v>
      </c>
      <c r="H77" s="62">
        <v>13347.1</v>
      </c>
      <c r="I77" s="63">
        <v>1.2</v>
      </c>
      <c r="J77" s="42">
        <f t="shared" ref="J77" si="71">H77*I77</f>
        <v>16016.52</v>
      </c>
      <c r="K77" s="42">
        <f>ROUND(C77*J77,0)+76326</f>
        <v>476739</v>
      </c>
      <c r="L77" s="42"/>
      <c r="M77" s="42"/>
      <c r="N77" s="42"/>
      <c r="O77" s="42"/>
      <c r="P77" s="42">
        <f t="shared" si="64"/>
        <v>71112.52</v>
      </c>
      <c r="Q77" s="58"/>
      <c r="R77" s="42">
        <f t="shared" si="70"/>
        <v>1854139</v>
      </c>
      <c r="S77" s="42"/>
      <c r="T77" s="168"/>
    </row>
    <row r="78" spans="1:23" x14ac:dyDescent="0.25">
      <c r="A78" s="61" t="s">
        <v>101</v>
      </c>
      <c r="B78" s="51" t="s">
        <v>13</v>
      </c>
      <c r="C78" s="42">
        <v>140</v>
      </c>
      <c r="D78" s="42"/>
      <c r="E78" s="42"/>
      <c r="F78" s="42"/>
      <c r="G78" s="42"/>
      <c r="H78" s="62"/>
      <c r="I78" s="42"/>
      <c r="J78" s="42"/>
      <c r="K78" s="42"/>
      <c r="L78" s="63">
        <v>3605.27</v>
      </c>
      <c r="M78" s="63">
        <v>1.5409999999999999</v>
      </c>
      <c r="N78" s="42">
        <f t="shared" ref="N78" si="72">L78*M78</f>
        <v>5555.7210699999996</v>
      </c>
      <c r="O78" s="42">
        <f>ROUND(C78*N78,0)</f>
        <v>777801</v>
      </c>
      <c r="P78" s="42">
        <f t="shared" si="64"/>
        <v>5555.7210699999996</v>
      </c>
      <c r="Q78" s="58"/>
      <c r="R78" s="42">
        <f t="shared" si="70"/>
        <v>777801</v>
      </c>
      <c r="S78" s="42"/>
      <c r="T78" s="168"/>
    </row>
    <row r="79" spans="1:23" s="60" customFormat="1" hidden="1" x14ac:dyDescent="0.25">
      <c r="A79" s="56"/>
      <c r="B79" s="51" t="s">
        <v>27</v>
      </c>
      <c r="C79" s="58"/>
      <c r="D79" s="58"/>
      <c r="E79" s="58"/>
      <c r="F79" s="42"/>
      <c r="G79" s="58"/>
      <c r="H79" s="62"/>
      <c r="I79" s="58"/>
      <c r="J79" s="42"/>
      <c r="K79" s="42"/>
      <c r="L79" s="42"/>
      <c r="M79" s="42"/>
      <c r="N79" s="42"/>
      <c r="O79" s="42"/>
      <c r="P79" s="42"/>
      <c r="Q79" s="58"/>
      <c r="R79" s="42"/>
      <c r="S79" s="58"/>
      <c r="T79" s="168"/>
      <c r="U79" s="68"/>
      <c r="V79" s="66"/>
      <c r="W79" s="66"/>
    </row>
    <row r="80" spans="1:23" hidden="1" x14ac:dyDescent="0.25">
      <c r="A80" s="61"/>
      <c r="B80" s="51" t="s">
        <v>28</v>
      </c>
      <c r="C80" s="42"/>
      <c r="D80" s="42"/>
      <c r="E80" s="42"/>
      <c r="F80" s="42"/>
      <c r="G80" s="42"/>
      <c r="H80" s="62"/>
      <c r="I80" s="42"/>
      <c r="J80" s="42"/>
      <c r="K80" s="42"/>
      <c r="L80" s="42"/>
      <c r="M80" s="42"/>
      <c r="N80" s="42"/>
      <c r="O80" s="42"/>
      <c r="P80" s="42"/>
      <c r="Q80" s="58"/>
      <c r="R80" s="42"/>
      <c r="S80" s="42"/>
      <c r="T80" s="168"/>
    </row>
    <row r="81" spans="1:23" hidden="1" x14ac:dyDescent="0.25">
      <c r="A81" s="61"/>
      <c r="B81" s="51" t="s">
        <v>29</v>
      </c>
      <c r="C81" s="42"/>
      <c r="D81" s="42"/>
      <c r="E81" s="42"/>
      <c r="F81" s="42"/>
      <c r="G81" s="42"/>
      <c r="H81" s="62"/>
      <c r="I81" s="42"/>
      <c r="J81" s="42"/>
      <c r="K81" s="42"/>
      <c r="L81" s="42"/>
      <c r="M81" s="42"/>
      <c r="N81" s="42"/>
      <c r="O81" s="42"/>
      <c r="P81" s="42"/>
      <c r="Q81" s="58"/>
      <c r="R81" s="42"/>
      <c r="S81" s="42"/>
      <c r="T81" s="168"/>
    </row>
    <row r="82" spans="1:23" x14ac:dyDescent="0.25">
      <c r="A82" s="85"/>
      <c r="B82" s="86" t="s">
        <v>315</v>
      </c>
      <c r="C82" s="75">
        <f>C71+C76+C77</f>
        <v>140</v>
      </c>
      <c r="D82" s="75"/>
      <c r="E82" s="75">
        <f>E71+E76+E77</f>
        <v>6294000</v>
      </c>
      <c r="F82" s="75"/>
      <c r="G82" s="75">
        <f>G71+G76+G77</f>
        <v>2207560</v>
      </c>
      <c r="H82" s="89"/>
      <c r="I82" s="75"/>
      <c r="J82" s="75"/>
      <c r="K82" s="75">
        <f>K71+K76+K77</f>
        <v>2318639</v>
      </c>
      <c r="L82" s="75"/>
      <c r="M82" s="75"/>
      <c r="N82" s="75"/>
      <c r="O82" s="75">
        <f>O71+O76+O77+O78</f>
        <v>777801</v>
      </c>
      <c r="P82" s="75"/>
      <c r="Q82" s="75"/>
      <c r="R82" s="75">
        <f>R71+R76+R77+R78</f>
        <v>11598000</v>
      </c>
      <c r="S82" s="75">
        <v>103000</v>
      </c>
      <c r="T82" s="170">
        <f t="shared" ref="T82" si="73">R82+S82</f>
        <v>11701000</v>
      </c>
      <c r="U82" s="180"/>
      <c r="V82" s="180"/>
    </row>
    <row r="83" spans="1:23" ht="39" hidden="1" x14ac:dyDescent="0.25">
      <c r="A83" s="61" t="s">
        <v>8</v>
      </c>
      <c r="B83" s="51" t="s">
        <v>30</v>
      </c>
      <c r="C83" s="42"/>
      <c r="D83" s="42"/>
      <c r="E83" s="42"/>
      <c r="F83" s="42"/>
      <c r="G83" s="42"/>
      <c r="H83" s="62"/>
      <c r="I83" s="42"/>
      <c r="J83" s="42"/>
      <c r="K83" s="42"/>
      <c r="L83" s="42"/>
      <c r="M83" s="42"/>
      <c r="N83" s="42"/>
      <c r="O83" s="42"/>
      <c r="P83" s="42"/>
      <c r="Q83" s="58"/>
      <c r="R83" s="42"/>
      <c r="S83" s="42"/>
      <c r="T83" s="169"/>
    </row>
    <row r="84" spans="1:23" hidden="1" x14ac:dyDescent="0.25">
      <c r="A84" s="61"/>
      <c r="B84" s="51" t="s">
        <v>27</v>
      </c>
      <c r="C84" s="42"/>
      <c r="D84" s="42"/>
      <c r="E84" s="42"/>
      <c r="F84" s="42"/>
      <c r="G84" s="42"/>
      <c r="H84" s="62"/>
      <c r="I84" s="42"/>
      <c r="J84" s="42"/>
      <c r="K84" s="42"/>
      <c r="L84" s="42"/>
      <c r="M84" s="42"/>
      <c r="N84" s="42"/>
      <c r="O84" s="42"/>
      <c r="P84" s="42"/>
      <c r="Q84" s="58"/>
      <c r="R84" s="42"/>
      <c r="S84" s="42"/>
      <c r="T84" s="169"/>
    </row>
    <row r="85" spans="1:23" hidden="1" x14ac:dyDescent="0.25">
      <c r="A85" s="61"/>
      <c r="B85" s="51" t="s">
        <v>28</v>
      </c>
      <c r="C85" s="42"/>
      <c r="D85" s="42"/>
      <c r="E85" s="42"/>
      <c r="F85" s="42"/>
      <c r="G85" s="42"/>
      <c r="H85" s="62"/>
      <c r="I85" s="42"/>
      <c r="J85" s="42"/>
      <c r="K85" s="42"/>
      <c r="L85" s="42"/>
      <c r="M85" s="42"/>
      <c r="N85" s="42"/>
      <c r="O85" s="42"/>
      <c r="P85" s="42"/>
      <c r="Q85" s="58"/>
      <c r="R85" s="42"/>
      <c r="S85" s="42"/>
      <c r="T85" s="169"/>
    </row>
    <row r="86" spans="1:23" hidden="1" x14ac:dyDescent="0.25">
      <c r="A86" s="61"/>
      <c r="B86" s="51" t="s">
        <v>288</v>
      </c>
      <c r="C86" s="42"/>
      <c r="D86" s="42"/>
      <c r="E86" s="42"/>
      <c r="F86" s="42"/>
      <c r="G86" s="42"/>
      <c r="H86" s="62"/>
      <c r="I86" s="63"/>
      <c r="J86" s="42"/>
      <c r="K86" s="42"/>
      <c r="L86" s="42"/>
      <c r="M86" s="42"/>
      <c r="N86" s="42"/>
      <c r="O86" s="42"/>
      <c r="P86" s="42"/>
      <c r="Q86" s="58"/>
      <c r="R86" s="42"/>
      <c r="S86" s="42"/>
      <c r="T86" s="169"/>
    </row>
    <row r="87" spans="1:23" s="60" customFormat="1" x14ac:dyDescent="0.25">
      <c r="A87" s="56">
        <v>6</v>
      </c>
      <c r="B87" s="57" t="s">
        <v>35</v>
      </c>
      <c r="C87" s="58"/>
      <c r="D87" s="58"/>
      <c r="E87" s="58"/>
      <c r="F87" s="58"/>
      <c r="G87" s="58"/>
      <c r="H87" s="58"/>
      <c r="I87" s="58"/>
      <c r="J87" s="58"/>
      <c r="K87" s="58"/>
      <c r="L87" s="42"/>
      <c r="M87" s="58"/>
      <c r="N87" s="58"/>
      <c r="O87" s="58"/>
      <c r="P87" s="42"/>
      <c r="Q87" s="58"/>
      <c r="R87" s="58"/>
      <c r="S87" s="58"/>
      <c r="T87" s="168"/>
      <c r="U87" s="68"/>
      <c r="V87" s="66"/>
      <c r="W87" s="66"/>
    </row>
    <row r="88" spans="1:23" ht="39" x14ac:dyDescent="0.25">
      <c r="A88" s="61" t="s">
        <v>102</v>
      </c>
      <c r="B88" s="51" t="s">
        <v>44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58"/>
      <c r="R88" s="42"/>
      <c r="S88" s="42"/>
      <c r="T88" s="168"/>
    </row>
    <row r="89" spans="1:23" x14ac:dyDescent="0.25">
      <c r="A89" s="61"/>
      <c r="B89" s="51" t="s">
        <v>287</v>
      </c>
      <c r="C89" s="42">
        <v>15</v>
      </c>
      <c r="D89" s="42">
        <v>77562</v>
      </c>
      <c r="E89" s="42">
        <f>C89*D89+40450</f>
        <v>1203880</v>
      </c>
      <c r="F89" s="42">
        <f t="shared" ref="F89:F95" si="74">ROUND(D89*35.3%,0)</f>
        <v>27379</v>
      </c>
      <c r="G89" s="42">
        <f>C89*F89</f>
        <v>410685</v>
      </c>
      <c r="H89" s="62">
        <v>13347.1</v>
      </c>
      <c r="I89" s="63">
        <v>1.5</v>
      </c>
      <c r="J89" s="42">
        <f t="shared" ref="J89" si="75">H89*I89</f>
        <v>20020.650000000001</v>
      </c>
      <c r="K89" s="42">
        <f>ROUND(C89*J89,0)</f>
        <v>300310</v>
      </c>
      <c r="L89" s="42"/>
      <c r="M89" s="42"/>
      <c r="N89" s="42"/>
      <c r="O89" s="42"/>
      <c r="P89" s="42">
        <f t="shared" ref="P89:P95" si="76">D89+F89+J89+N89</f>
        <v>124961.65</v>
      </c>
      <c r="Q89" s="58"/>
      <c r="R89" s="42">
        <f t="shared" ref="R89:R96" si="77">E89+G89+K89+O89</f>
        <v>1914875</v>
      </c>
      <c r="S89" s="42"/>
      <c r="T89" s="168"/>
    </row>
    <row r="90" spans="1:23" x14ac:dyDescent="0.25">
      <c r="A90" s="61"/>
      <c r="B90" s="51" t="s">
        <v>28</v>
      </c>
      <c r="C90" s="42"/>
      <c r="D90" s="42"/>
      <c r="E90" s="42"/>
      <c r="F90" s="42">
        <f t="shared" si="74"/>
        <v>0</v>
      </c>
      <c r="G90" s="42"/>
      <c r="H90" s="42"/>
      <c r="I90" s="42"/>
      <c r="J90" s="42"/>
      <c r="K90" s="42"/>
      <c r="L90" s="42"/>
      <c r="M90" s="42"/>
      <c r="N90" s="42"/>
      <c r="O90" s="42"/>
      <c r="P90" s="42">
        <f t="shared" si="76"/>
        <v>0</v>
      </c>
      <c r="Q90" s="58"/>
      <c r="R90" s="42">
        <f t="shared" si="77"/>
        <v>0</v>
      </c>
      <c r="S90" s="42"/>
      <c r="T90" s="168"/>
    </row>
    <row r="91" spans="1:23" x14ac:dyDescent="0.25">
      <c r="A91" s="61"/>
      <c r="B91" s="51" t="s">
        <v>289</v>
      </c>
      <c r="C91" s="42"/>
      <c r="D91" s="42"/>
      <c r="E91" s="42"/>
      <c r="F91" s="42">
        <f t="shared" si="74"/>
        <v>0</v>
      </c>
      <c r="G91" s="42"/>
      <c r="H91" s="42"/>
      <c r="I91" s="42"/>
      <c r="J91" s="42"/>
      <c r="K91" s="42"/>
      <c r="L91" s="42"/>
      <c r="M91" s="42"/>
      <c r="N91" s="42"/>
      <c r="O91" s="42"/>
      <c r="P91" s="42">
        <f t="shared" si="76"/>
        <v>0</v>
      </c>
      <c r="Q91" s="58"/>
      <c r="R91" s="42">
        <f t="shared" si="77"/>
        <v>0</v>
      </c>
      <c r="S91" s="42"/>
      <c r="T91" s="168"/>
    </row>
    <row r="92" spans="1:23" ht="39" x14ac:dyDescent="0.25">
      <c r="A92" s="61" t="s">
        <v>103</v>
      </c>
      <c r="B92" s="51" t="s">
        <v>45</v>
      </c>
      <c r="C92" s="42"/>
      <c r="D92" s="42"/>
      <c r="E92" s="42"/>
      <c r="F92" s="42">
        <f t="shared" si="74"/>
        <v>0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58"/>
      <c r="R92" s="42">
        <f t="shared" si="77"/>
        <v>0</v>
      </c>
      <c r="S92" s="42"/>
      <c r="T92" s="168"/>
    </row>
    <row r="93" spans="1:23" x14ac:dyDescent="0.25">
      <c r="A93" s="61"/>
      <c r="B93" s="51" t="s">
        <v>287</v>
      </c>
      <c r="C93" s="42">
        <v>15</v>
      </c>
      <c r="D93" s="42">
        <v>67868</v>
      </c>
      <c r="E93" s="42">
        <f>C93*D93</f>
        <v>1018020</v>
      </c>
      <c r="F93" s="42">
        <f t="shared" si="74"/>
        <v>23957</v>
      </c>
      <c r="G93" s="42">
        <f>C93*F93+8580</f>
        <v>367935</v>
      </c>
      <c r="H93" s="62">
        <v>13347.1</v>
      </c>
      <c r="I93" s="63">
        <v>1.5</v>
      </c>
      <c r="J93" s="42">
        <f t="shared" ref="J93" si="78">H93*I93</f>
        <v>20020.650000000001</v>
      </c>
      <c r="K93" s="42">
        <f>ROUND(C93*J93,0)</f>
        <v>300310</v>
      </c>
      <c r="L93" s="42"/>
      <c r="M93" s="42"/>
      <c r="N93" s="42"/>
      <c r="O93" s="42"/>
      <c r="P93" s="42">
        <f t="shared" si="76"/>
        <v>111845.65</v>
      </c>
      <c r="Q93" s="58"/>
      <c r="R93" s="42">
        <f t="shared" si="77"/>
        <v>1686265</v>
      </c>
      <c r="S93" s="42"/>
      <c r="T93" s="168"/>
    </row>
    <row r="94" spans="1:23" x14ac:dyDescent="0.25">
      <c r="A94" s="61"/>
      <c r="B94" s="51" t="s">
        <v>28</v>
      </c>
      <c r="C94" s="42">
        <v>85</v>
      </c>
      <c r="D94" s="42">
        <v>40721</v>
      </c>
      <c r="E94" s="42">
        <f>C94*D94</f>
        <v>3461285</v>
      </c>
      <c r="F94" s="42">
        <f t="shared" si="74"/>
        <v>14375</v>
      </c>
      <c r="G94" s="42">
        <f t="shared" ref="G94:G95" si="79">C94*F94</f>
        <v>1221875</v>
      </c>
      <c r="H94" s="62">
        <v>13347.1</v>
      </c>
      <c r="I94" s="63">
        <v>1.5</v>
      </c>
      <c r="J94" s="42">
        <f t="shared" ref="J94:J95" si="80">H94*I94</f>
        <v>20020.650000000001</v>
      </c>
      <c r="K94" s="42">
        <f>ROUND(C94*J94,0)</f>
        <v>1701755</v>
      </c>
      <c r="L94" s="42"/>
      <c r="M94" s="42"/>
      <c r="N94" s="42"/>
      <c r="O94" s="42"/>
      <c r="P94" s="42">
        <f t="shared" si="76"/>
        <v>75116.649999999994</v>
      </c>
      <c r="Q94" s="58"/>
      <c r="R94" s="42">
        <f t="shared" si="77"/>
        <v>6384915</v>
      </c>
      <c r="S94" s="42"/>
      <c r="T94" s="168"/>
    </row>
    <row r="95" spans="1:23" x14ac:dyDescent="0.25">
      <c r="A95" s="61"/>
      <c r="B95" s="51" t="s">
        <v>289</v>
      </c>
      <c r="C95" s="42">
        <v>15</v>
      </c>
      <c r="D95" s="42">
        <v>40721</v>
      </c>
      <c r="E95" s="42">
        <f>C95*D95</f>
        <v>610815</v>
      </c>
      <c r="F95" s="42">
        <f t="shared" si="74"/>
        <v>14375</v>
      </c>
      <c r="G95" s="42">
        <f t="shared" si="79"/>
        <v>215625</v>
      </c>
      <c r="H95" s="62">
        <v>13347.1</v>
      </c>
      <c r="I95" s="63">
        <v>1.5</v>
      </c>
      <c r="J95" s="42">
        <f t="shared" si="80"/>
        <v>20020.650000000001</v>
      </c>
      <c r="K95" s="42">
        <f>ROUND(C95*J95,0)+79357</f>
        <v>379667</v>
      </c>
      <c r="L95" s="42"/>
      <c r="M95" s="42"/>
      <c r="N95" s="42"/>
      <c r="O95" s="42"/>
      <c r="P95" s="42">
        <f t="shared" si="76"/>
        <v>75116.649999999994</v>
      </c>
      <c r="Q95" s="58"/>
      <c r="R95" s="42">
        <f t="shared" si="77"/>
        <v>1206107</v>
      </c>
      <c r="S95" s="42"/>
      <c r="T95" s="168"/>
    </row>
    <row r="96" spans="1:23" x14ac:dyDescent="0.25">
      <c r="A96" s="61" t="s">
        <v>104</v>
      </c>
      <c r="B96" s="51" t="s">
        <v>13</v>
      </c>
      <c r="C96" s="42">
        <v>130</v>
      </c>
      <c r="D96" s="42"/>
      <c r="E96" s="42"/>
      <c r="F96" s="42"/>
      <c r="G96" s="42"/>
      <c r="H96" s="42"/>
      <c r="I96" s="42"/>
      <c r="J96" s="42"/>
      <c r="K96" s="42"/>
      <c r="L96" s="63">
        <v>3605.27</v>
      </c>
      <c r="M96" s="63">
        <v>1.538</v>
      </c>
      <c r="N96" s="42">
        <f t="shared" ref="N96" si="81">L96*M96</f>
        <v>5544.9052600000005</v>
      </c>
      <c r="O96" s="42">
        <f>ROUND(C96*N96,0)</f>
        <v>720838</v>
      </c>
      <c r="P96" s="42"/>
      <c r="Q96" s="58"/>
      <c r="R96" s="42">
        <f t="shared" si="77"/>
        <v>720838</v>
      </c>
      <c r="S96" s="42"/>
      <c r="T96" s="168"/>
    </row>
    <row r="97" spans="1:23" s="60" customFormat="1" hidden="1" x14ac:dyDescent="0.25">
      <c r="A97" s="56"/>
      <c r="B97" s="51" t="s">
        <v>27</v>
      </c>
      <c r="C97" s="58"/>
      <c r="D97" s="58"/>
      <c r="E97" s="58"/>
      <c r="F97" s="42"/>
      <c r="G97" s="58"/>
      <c r="H97" s="42"/>
      <c r="I97" s="58"/>
      <c r="J97" s="42"/>
      <c r="K97" s="42"/>
      <c r="L97" s="42"/>
      <c r="M97" s="42"/>
      <c r="N97" s="42"/>
      <c r="O97" s="42"/>
      <c r="P97" s="42"/>
      <c r="Q97" s="58"/>
      <c r="R97" s="42"/>
      <c r="S97" s="58"/>
      <c r="T97" s="168"/>
      <c r="U97" s="68"/>
      <c r="V97" s="66"/>
      <c r="W97" s="66"/>
    </row>
    <row r="98" spans="1:23" hidden="1" x14ac:dyDescent="0.25">
      <c r="A98" s="61"/>
      <c r="B98" s="51" t="s">
        <v>28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58"/>
      <c r="R98" s="42"/>
      <c r="S98" s="42"/>
      <c r="T98" s="168"/>
    </row>
    <row r="99" spans="1:23" hidden="1" x14ac:dyDescent="0.25">
      <c r="A99" s="61"/>
      <c r="B99" s="51" t="s">
        <v>29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58"/>
      <c r="R99" s="42"/>
      <c r="S99" s="42"/>
      <c r="T99" s="168"/>
    </row>
    <row r="100" spans="1:23" x14ac:dyDescent="0.25">
      <c r="A100" s="85"/>
      <c r="B100" s="86" t="s">
        <v>315</v>
      </c>
      <c r="C100" s="75">
        <f>C89+C94+C95</f>
        <v>115</v>
      </c>
      <c r="D100" s="75"/>
      <c r="E100" s="75">
        <f>E89+E94+E95+E96+E93</f>
        <v>6294000</v>
      </c>
      <c r="F100" s="75"/>
      <c r="G100" s="75">
        <f>G89+G94+G95+G96+G93</f>
        <v>2216120</v>
      </c>
      <c r="H100" s="75"/>
      <c r="I100" s="75"/>
      <c r="J100" s="75"/>
      <c r="K100" s="75">
        <f>K89+K94+K95+K96+K93</f>
        <v>2682042</v>
      </c>
      <c r="L100" s="75"/>
      <c r="M100" s="75"/>
      <c r="N100" s="75"/>
      <c r="O100" s="75">
        <f>O89+O94+O95+O96</f>
        <v>720838</v>
      </c>
      <c r="P100" s="75"/>
      <c r="Q100" s="75"/>
      <c r="R100" s="75">
        <f>R89+R94+R95+R96+R93</f>
        <v>11913000</v>
      </c>
      <c r="S100" s="75">
        <v>96000</v>
      </c>
      <c r="T100" s="170">
        <f t="shared" ref="T100" si="82">R100+S100</f>
        <v>12009000</v>
      </c>
      <c r="U100" s="180"/>
      <c r="V100" s="180"/>
    </row>
    <row r="101" spans="1:23" s="60" customFormat="1" x14ac:dyDescent="0.25">
      <c r="A101" s="56">
        <v>7</v>
      </c>
      <c r="B101" s="57" t="s">
        <v>36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42"/>
      <c r="M101" s="58"/>
      <c r="N101" s="58"/>
      <c r="O101" s="58"/>
      <c r="P101" s="42"/>
      <c r="Q101" s="58"/>
      <c r="R101" s="58"/>
      <c r="S101" s="58"/>
      <c r="T101" s="168"/>
      <c r="U101" s="68"/>
      <c r="V101" s="66"/>
      <c r="W101" s="66"/>
    </row>
    <row r="102" spans="1:23" ht="39" x14ac:dyDescent="0.25">
      <c r="A102" s="61" t="s">
        <v>105</v>
      </c>
      <c r="B102" s="51" t="s">
        <v>44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58"/>
      <c r="R102" s="42"/>
      <c r="S102" s="42"/>
      <c r="T102" s="168"/>
    </row>
    <row r="103" spans="1:23" x14ac:dyDescent="0.25">
      <c r="A103" s="61"/>
      <c r="B103" s="51" t="s">
        <v>287</v>
      </c>
      <c r="C103" s="42">
        <v>15</v>
      </c>
      <c r="D103" s="42">
        <v>77562</v>
      </c>
      <c r="E103" s="42">
        <f>C103*D103+55705</f>
        <v>1219135</v>
      </c>
      <c r="F103" s="42">
        <f t="shared" ref="F103:F114" si="83">ROUND(D103*35.3%,0)</f>
        <v>27379</v>
      </c>
      <c r="G103" s="42">
        <f t="shared" ref="G103:G106" si="84">C103*F103</f>
        <v>410685</v>
      </c>
      <c r="H103" s="62">
        <v>13347.1</v>
      </c>
      <c r="I103" s="63">
        <v>2.34</v>
      </c>
      <c r="J103" s="42">
        <f t="shared" ref="J103" si="85">H103*I103</f>
        <v>31232.214</v>
      </c>
      <c r="K103" s="42">
        <f>ROUND(C103*J103,0)</f>
        <v>468483</v>
      </c>
      <c r="L103" s="42"/>
      <c r="M103" s="42"/>
      <c r="N103" s="42"/>
      <c r="O103" s="42"/>
      <c r="P103" s="42">
        <f t="shared" ref="P103:P104" si="86">D103+F103+J103+N103</f>
        <v>136173.21400000001</v>
      </c>
      <c r="Q103" s="58"/>
      <c r="R103" s="42">
        <f t="shared" ref="R103:R104" si="87">E103+G103+K103+O103</f>
        <v>2098303</v>
      </c>
      <c r="S103" s="42"/>
      <c r="T103" s="168"/>
    </row>
    <row r="104" spans="1:23" x14ac:dyDescent="0.25">
      <c r="A104" s="61"/>
      <c r="B104" s="51" t="s">
        <v>28</v>
      </c>
      <c r="C104" s="42">
        <v>20</v>
      </c>
      <c r="D104" s="42">
        <v>46539</v>
      </c>
      <c r="E104" s="42">
        <f>C104*D104</f>
        <v>930780</v>
      </c>
      <c r="F104" s="42">
        <f t="shared" si="83"/>
        <v>16428</v>
      </c>
      <c r="G104" s="42">
        <f t="shared" si="84"/>
        <v>328560</v>
      </c>
      <c r="H104" s="62">
        <v>13347.1</v>
      </c>
      <c r="I104" s="63">
        <v>2.34</v>
      </c>
      <c r="J104" s="42">
        <f t="shared" ref="J104:J107" si="88">H104*I104</f>
        <v>31232.214</v>
      </c>
      <c r="K104" s="42">
        <f t="shared" ref="K104:K107" si="89">ROUND(C104*J104,0)</f>
        <v>624644</v>
      </c>
      <c r="L104" s="42"/>
      <c r="M104" s="42"/>
      <c r="N104" s="42"/>
      <c r="O104" s="42"/>
      <c r="P104" s="42">
        <f t="shared" si="86"/>
        <v>94199.214000000007</v>
      </c>
      <c r="Q104" s="58"/>
      <c r="R104" s="42">
        <f t="shared" si="87"/>
        <v>1883984</v>
      </c>
      <c r="S104" s="42"/>
      <c r="T104" s="168"/>
    </row>
    <row r="105" spans="1:23" ht="39" x14ac:dyDescent="0.25">
      <c r="A105" s="61" t="s">
        <v>106</v>
      </c>
      <c r="B105" s="51" t="s">
        <v>317</v>
      </c>
      <c r="C105" s="42"/>
      <c r="D105" s="42"/>
      <c r="E105" s="42"/>
      <c r="F105" s="42">
        <f t="shared" si="83"/>
        <v>0</v>
      </c>
      <c r="G105" s="42"/>
      <c r="H105" s="42"/>
      <c r="I105" s="63"/>
      <c r="J105" s="42">
        <f t="shared" si="88"/>
        <v>0</v>
      </c>
      <c r="K105" s="42">
        <f t="shared" si="89"/>
        <v>0</v>
      </c>
      <c r="L105" s="42"/>
      <c r="M105" s="42"/>
      <c r="N105" s="42"/>
      <c r="O105" s="42"/>
      <c r="P105" s="42"/>
      <c r="Q105" s="58"/>
      <c r="R105" s="42"/>
      <c r="S105" s="42"/>
      <c r="T105" s="168"/>
    </row>
    <row r="106" spans="1:23" x14ac:dyDescent="0.25">
      <c r="A106" s="61"/>
      <c r="B106" s="51" t="s">
        <v>27</v>
      </c>
      <c r="C106" s="42">
        <v>6</v>
      </c>
      <c r="D106" s="42">
        <v>240725</v>
      </c>
      <c r="E106" s="42">
        <f>C106*D106</f>
        <v>1444350</v>
      </c>
      <c r="F106" s="42">
        <f t="shared" si="83"/>
        <v>84976</v>
      </c>
      <c r="G106" s="42">
        <f t="shared" si="84"/>
        <v>509856</v>
      </c>
      <c r="H106" s="62">
        <v>13347.1</v>
      </c>
      <c r="I106" s="63">
        <v>2.34</v>
      </c>
      <c r="J106" s="42">
        <f t="shared" si="88"/>
        <v>31232.214</v>
      </c>
      <c r="K106" s="42">
        <f t="shared" si="89"/>
        <v>187393</v>
      </c>
      <c r="L106" s="42"/>
      <c r="M106" s="42"/>
      <c r="N106" s="42"/>
      <c r="O106" s="42"/>
      <c r="P106" s="42"/>
      <c r="Q106" s="58"/>
      <c r="R106" s="42">
        <f t="shared" ref="R106:R108" si="90">E106+G106+K106+O106</f>
        <v>2141599</v>
      </c>
      <c r="S106" s="42"/>
      <c r="T106" s="168"/>
    </row>
    <row r="107" spans="1:23" x14ac:dyDescent="0.25">
      <c r="A107" s="61"/>
      <c r="B107" s="51" t="s">
        <v>28</v>
      </c>
      <c r="C107" s="42"/>
      <c r="D107" s="42"/>
      <c r="E107" s="42"/>
      <c r="F107" s="42">
        <f t="shared" si="83"/>
        <v>0</v>
      </c>
      <c r="G107" s="42"/>
      <c r="H107" s="62"/>
      <c r="I107" s="42"/>
      <c r="J107" s="42">
        <f t="shared" si="88"/>
        <v>0</v>
      </c>
      <c r="K107" s="42">
        <f t="shared" si="89"/>
        <v>0</v>
      </c>
      <c r="L107" s="42"/>
      <c r="M107" s="42"/>
      <c r="N107" s="42"/>
      <c r="O107" s="42"/>
      <c r="P107" s="42"/>
      <c r="Q107" s="58"/>
      <c r="R107" s="42"/>
      <c r="S107" s="42"/>
      <c r="T107" s="168"/>
    </row>
    <row r="108" spans="1:23" x14ac:dyDescent="0.25">
      <c r="A108" s="61"/>
      <c r="B108" s="51" t="s">
        <v>318</v>
      </c>
      <c r="C108" s="42">
        <v>10</v>
      </c>
      <c r="D108" s="42">
        <v>144434</v>
      </c>
      <c r="E108" s="42">
        <f>C108*D108</f>
        <v>1444340</v>
      </c>
      <c r="F108" s="42">
        <f t="shared" si="83"/>
        <v>50985</v>
      </c>
      <c r="G108" s="42">
        <f>C108*F108</f>
        <v>509850</v>
      </c>
      <c r="H108" s="62">
        <v>13347.1</v>
      </c>
      <c r="I108" s="63">
        <v>2.34</v>
      </c>
      <c r="J108" s="42">
        <f t="shared" ref="J108" si="91">H108*I108</f>
        <v>31232.214</v>
      </c>
      <c r="K108" s="42">
        <f>ROUND(C108*J108,0)</f>
        <v>312322</v>
      </c>
      <c r="L108" s="42"/>
      <c r="M108" s="42"/>
      <c r="N108" s="42"/>
      <c r="O108" s="42"/>
      <c r="P108" s="42">
        <f t="shared" ref="P108" si="92">D108+F108+J108+N108</f>
        <v>226651.21400000001</v>
      </c>
      <c r="Q108" s="58"/>
      <c r="R108" s="42">
        <f t="shared" si="90"/>
        <v>2266512</v>
      </c>
      <c r="S108" s="42"/>
      <c r="T108" s="168"/>
    </row>
    <row r="109" spans="1:23" ht="51.75" x14ac:dyDescent="0.25">
      <c r="A109" s="61" t="s">
        <v>107</v>
      </c>
      <c r="B109" s="51" t="s">
        <v>292</v>
      </c>
      <c r="C109" s="42"/>
      <c r="D109" s="42"/>
      <c r="E109" s="42"/>
      <c r="F109" s="42">
        <f t="shared" si="83"/>
        <v>0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58"/>
      <c r="R109" s="42"/>
      <c r="S109" s="42"/>
      <c r="T109" s="168"/>
    </row>
    <row r="110" spans="1:23" x14ac:dyDescent="0.25">
      <c r="A110" s="61"/>
      <c r="B110" s="51" t="s">
        <v>318</v>
      </c>
      <c r="C110" s="42"/>
      <c r="D110" s="42"/>
      <c r="E110" s="42"/>
      <c r="F110" s="42">
        <f t="shared" si="83"/>
        <v>0</v>
      </c>
      <c r="G110" s="42"/>
      <c r="H110" s="42"/>
      <c r="I110" s="63"/>
      <c r="J110" s="42"/>
      <c r="K110" s="42"/>
      <c r="L110" s="42"/>
      <c r="M110" s="42"/>
      <c r="N110" s="42"/>
      <c r="O110" s="42"/>
      <c r="P110" s="42"/>
      <c r="Q110" s="58"/>
      <c r="R110" s="42"/>
      <c r="S110" s="42"/>
      <c r="T110" s="168"/>
    </row>
    <row r="111" spans="1:23" ht="51.75" x14ac:dyDescent="0.25">
      <c r="A111" s="61" t="s">
        <v>108</v>
      </c>
      <c r="B111" s="51" t="s">
        <v>51</v>
      </c>
      <c r="C111" s="42"/>
      <c r="D111" s="42"/>
      <c r="E111" s="42"/>
      <c r="F111" s="42">
        <f t="shared" si="83"/>
        <v>0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58"/>
      <c r="R111" s="42"/>
      <c r="S111" s="42"/>
      <c r="T111" s="168"/>
    </row>
    <row r="112" spans="1:23" x14ac:dyDescent="0.25">
      <c r="A112" s="61"/>
      <c r="B112" s="51" t="s">
        <v>289</v>
      </c>
      <c r="C112" s="42">
        <v>20</v>
      </c>
      <c r="D112" s="42">
        <v>144434</v>
      </c>
      <c r="E112" s="42">
        <f>C112*D112</f>
        <v>2888680</v>
      </c>
      <c r="F112" s="42">
        <f t="shared" si="83"/>
        <v>50985</v>
      </c>
      <c r="G112" s="42">
        <f t="shared" ref="G112" si="93">C112*F112</f>
        <v>1019700</v>
      </c>
      <c r="H112" s="62">
        <v>13347.1</v>
      </c>
      <c r="I112" s="63">
        <v>2.34</v>
      </c>
      <c r="J112" s="42">
        <f t="shared" ref="J112" si="94">H112*I112</f>
        <v>31232.214</v>
      </c>
      <c r="K112" s="42">
        <f>ROUND(C112*J112,0)</f>
        <v>624644</v>
      </c>
      <c r="L112" s="42"/>
      <c r="M112" s="42"/>
      <c r="N112" s="42"/>
      <c r="O112" s="42"/>
      <c r="P112" s="42">
        <f t="shared" ref="P112:P115" si="95">D112+F112+J112+N112</f>
        <v>226651.21400000001</v>
      </c>
      <c r="Q112" s="58"/>
      <c r="R112" s="42">
        <f t="shared" ref="R112:R115" si="96">E112+G112+K112+O112</f>
        <v>4533024</v>
      </c>
      <c r="S112" s="42"/>
      <c r="T112" s="168"/>
    </row>
    <row r="113" spans="1:23" ht="51.75" x14ac:dyDescent="0.25">
      <c r="A113" s="61" t="s">
        <v>109</v>
      </c>
      <c r="B113" s="51" t="s">
        <v>52</v>
      </c>
      <c r="C113" s="42"/>
      <c r="D113" s="42"/>
      <c r="E113" s="42"/>
      <c r="F113" s="42">
        <f t="shared" si="83"/>
        <v>0</v>
      </c>
      <c r="G113" s="42"/>
      <c r="H113" s="62"/>
      <c r="I113" s="42"/>
      <c r="J113" s="42"/>
      <c r="K113" s="42"/>
      <c r="L113" s="42"/>
      <c r="M113" s="42"/>
      <c r="N113" s="42"/>
      <c r="O113" s="42"/>
      <c r="P113" s="42"/>
      <c r="Q113" s="58"/>
      <c r="R113" s="42"/>
      <c r="S113" s="42"/>
      <c r="T113" s="168"/>
    </row>
    <row r="114" spans="1:23" x14ac:dyDescent="0.25">
      <c r="A114" s="61"/>
      <c r="B114" s="51" t="s">
        <v>289</v>
      </c>
      <c r="C114" s="42">
        <v>5</v>
      </c>
      <c r="D114" s="42">
        <v>142143</v>
      </c>
      <c r="E114" s="42">
        <f>C114*D114</f>
        <v>710715</v>
      </c>
      <c r="F114" s="42">
        <f t="shared" si="83"/>
        <v>50176</v>
      </c>
      <c r="G114" s="42">
        <f t="shared" ref="G114" si="97">C114*F114</f>
        <v>250880</v>
      </c>
      <c r="H114" s="62">
        <v>13347.1</v>
      </c>
      <c r="I114" s="63">
        <v>2.34</v>
      </c>
      <c r="J114" s="42">
        <f t="shared" ref="J114" si="98">H114*I114</f>
        <v>31232.214</v>
      </c>
      <c r="K114" s="42">
        <f>ROUND(C114*J114,0)+61843</f>
        <v>218004</v>
      </c>
      <c r="L114" s="42"/>
      <c r="M114" s="42"/>
      <c r="N114" s="42"/>
      <c r="O114" s="42"/>
      <c r="P114" s="42">
        <f t="shared" si="95"/>
        <v>223551.21400000001</v>
      </c>
      <c r="Q114" s="58"/>
      <c r="R114" s="42">
        <f t="shared" si="96"/>
        <v>1179599</v>
      </c>
      <c r="S114" s="42"/>
      <c r="T114" s="168"/>
    </row>
    <row r="115" spans="1:23" x14ac:dyDescent="0.25">
      <c r="A115" s="61" t="s">
        <v>110</v>
      </c>
      <c r="B115" s="51" t="s">
        <v>13</v>
      </c>
      <c r="C115" s="42">
        <v>76</v>
      </c>
      <c r="D115" s="42"/>
      <c r="E115" s="42"/>
      <c r="F115" s="42"/>
      <c r="G115" s="42"/>
      <c r="H115" s="42"/>
      <c r="I115" s="42"/>
      <c r="J115" s="42"/>
      <c r="K115" s="42"/>
      <c r="L115" s="63">
        <v>3605.27</v>
      </c>
      <c r="M115" s="63">
        <v>1.6970000000000001</v>
      </c>
      <c r="N115" s="42">
        <f t="shared" ref="N115" si="99">L115*M115</f>
        <v>6118.1431899999998</v>
      </c>
      <c r="O115" s="42">
        <f>ROUND(C115*N115,0)</f>
        <v>464979</v>
      </c>
      <c r="P115" s="42">
        <f t="shared" si="95"/>
        <v>6118.1431899999998</v>
      </c>
      <c r="Q115" s="58"/>
      <c r="R115" s="42">
        <f t="shared" si="96"/>
        <v>464979</v>
      </c>
      <c r="S115" s="42"/>
      <c r="T115" s="168"/>
    </row>
    <row r="116" spans="1:23" s="60" customFormat="1" hidden="1" x14ac:dyDescent="0.25">
      <c r="A116" s="56"/>
      <c r="B116" s="51" t="s">
        <v>27</v>
      </c>
      <c r="C116" s="58"/>
      <c r="D116" s="58"/>
      <c r="E116" s="58"/>
      <c r="F116" s="42"/>
      <c r="G116" s="58"/>
      <c r="H116" s="42"/>
      <c r="I116" s="58"/>
      <c r="J116" s="42"/>
      <c r="K116" s="42"/>
      <c r="L116" s="42"/>
      <c r="M116" s="42"/>
      <c r="N116" s="42"/>
      <c r="O116" s="42"/>
      <c r="P116" s="42"/>
      <c r="Q116" s="58"/>
      <c r="R116" s="42"/>
      <c r="S116" s="58"/>
      <c r="T116" s="168"/>
      <c r="U116" s="68"/>
      <c r="V116" s="66"/>
      <c r="W116" s="66"/>
    </row>
    <row r="117" spans="1:23" hidden="1" x14ac:dyDescent="0.25">
      <c r="A117" s="61"/>
      <c r="B117" s="51" t="s">
        <v>28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58"/>
      <c r="R117" s="42"/>
      <c r="S117" s="42"/>
      <c r="T117" s="168"/>
    </row>
    <row r="118" spans="1:23" hidden="1" x14ac:dyDescent="0.25">
      <c r="A118" s="61"/>
      <c r="B118" s="51" t="s">
        <v>29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58"/>
      <c r="R118" s="42"/>
      <c r="S118" s="42"/>
      <c r="T118" s="168"/>
    </row>
    <row r="119" spans="1:23" x14ac:dyDescent="0.25">
      <c r="A119" s="85"/>
      <c r="B119" s="86" t="s">
        <v>315</v>
      </c>
      <c r="C119" s="75">
        <f>C103+C104+C108+C110+C112+C114+C106</f>
        <v>76</v>
      </c>
      <c r="D119" s="75"/>
      <c r="E119" s="75">
        <f>E103+E104+E108+E110+E112+E114+E106</f>
        <v>8638000</v>
      </c>
      <c r="F119" s="75"/>
      <c r="G119" s="75">
        <f>G103+G104+G108+G110+G112+G114+G106</f>
        <v>3029531</v>
      </c>
      <c r="H119" s="75"/>
      <c r="I119" s="75"/>
      <c r="J119" s="75"/>
      <c r="K119" s="75">
        <f>K103+K104+K108+K110+K112+K114+K106</f>
        <v>2435490</v>
      </c>
      <c r="L119" s="75"/>
      <c r="M119" s="75"/>
      <c r="N119" s="75"/>
      <c r="O119" s="75">
        <f>O103+O104+O108+O110+O112+O114+O106</f>
        <v>0</v>
      </c>
      <c r="P119" s="75"/>
      <c r="Q119" s="75"/>
      <c r="R119" s="75">
        <f>R103+R104+R108+R110+R112+R114+R106+R115</f>
        <v>14568000</v>
      </c>
      <c r="S119" s="75">
        <v>140000</v>
      </c>
      <c r="T119" s="170">
        <f>R119+S119</f>
        <v>14708000</v>
      </c>
      <c r="U119" s="183"/>
      <c r="V119" s="180"/>
    </row>
    <row r="120" spans="1:23" s="60" customFormat="1" x14ac:dyDescent="0.25">
      <c r="A120" s="56">
        <v>8</v>
      </c>
      <c r="B120" s="57" t="s">
        <v>37</v>
      </c>
      <c r="C120" s="58"/>
      <c r="D120" s="58"/>
      <c r="E120" s="58"/>
      <c r="F120" s="58"/>
      <c r="G120" s="58"/>
      <c r="H120" s="58"/>
      <c r="I120" s="58"/>
      <c r="J120" s="42"/>
      <c r="K120" s="58"/>
      <c r="L120" s="58"/>
      <c r="M120" s="76"/>
      <c r="N120" s="58"/>
      <c r="O120" s="58"/>
      <c r="P120" s="42"/>
      <c r="Q120" s="58"/>
      <c r="R120" s="58"/>
      <c r="S120" s="58"/>
      <c r="T120" s="168"/>
      <c r="U120" s="68"/>
      <c r="V120" s="68"/>
      <c r="W120" s="66"/>
    </row>
    <row r="121" spans="1:23" ht="39" x14ac:dyDescent="0.25">
      <c r="A121" s="61" t="s">
        <v>111</v>
      </c>
      <c r="B121" s="51" t="s">
        <v>44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58"/>
      <c r="R121" s="42"/>
      <c r="S121" s="42"/>
      <c r="T121" s="168"/>
    </row>
    <row r="122" spans="1:23" x14ac:dyDescent="0.25">
      <c r="A122" s="61"/>
      <c r="B122" s="51" t="s">
        <v>287</v>
      </c>
      <c r="C122" s="42"/>
      <c r="D122" s="42"/>
      <c r="E122" s="42"/>
      <c r="F122" s="42"/>
      <c r="G122" s="42"/>
      <c r="H122" s="62"/>
      <c r="I122" s="63"/>
      <c r="J122" s="42"/>
      <c r="K122" s="42"/>
      <c r="L122" s="42"/>
      <c r="M122" s="42"/>
      <c r="N122" s="42"/>
      <c r="O122" s="42"/>
      <c r="P122" s="42"/>
      <c r="Q122" s="58"/>
      <c r="R122" s="42"/>
      <c r="S122" s="42"/>
      <c r="T122" s="168"/>
    </row>
    <row r="123" spans="1:23" x14ac:dyDescent="0.25">
      <c r="A123" s="61"/>
      <c r="B123" s="51" t="s">
        <v>28</v>
      </c>
      <c r="C123" s="42">
        <v>20</v>
      </c>
      <c r="D123" s="42">
        <v>46539</v>
      </c>
      <c r="E123" s="42">
        <f>C123*D123+69052</f>
        <v>999832</v>
      </c>
      <c r="F123" s="42">
        <f t="shared" ref="F123:F131" si="100">ROUND(D123*35.3%,0)</f>
        <v>16428</v>
      </c>
      <c r="G123" s="42">
        <f t="shared" ref="G123" si="101">C123*F123</f>
        <v>328560</v>
      </c>
      <c r="H123" s="62">
        <v>13347.1</v>
      </c>
      <c r="I123" s="63">
        <v>1.43</v>
      </c>
      <c r="J123" s="42">
        <f t="shared" ref="J123" si="102">H123*I123</f>
        <v>19086.352999999999</v>
      </c>
      <c r="K123" s="42">
        <f>ROUND(C123*J123,0)</f>
        <v>381727</v>
      </c>
      <c r="L123" s="42"/>
      <c r="M123" s="42"/>
      <c r="N123" s="42"/>
      <c r="O123" s="42"/>
      <c r="P123" s="42">
        <f t="shared" ref="P123:P128" si="103">D123+F123+J123+N123</f>
        <v>82053.353000000003</v>
      </c>
      <c r="Q123" s="58"/>
      <c r="R123" s="42">
        <f t="shared" ref="R123:R128" si="104">E123+G123+K123+O123</f>
        <v>1710119</v>
      </c>
      <c r="S123" s="42"/>
      <c r="T123" s="168"/>
    </row>
    <row r="124" spans="1:23" x14ac:dyDescent="0.25">
      <c r="A124" s="61"/>
      <c r="B124" s="51" t="s">
        <v>29</v>
      </c>
      <c r="C124" s="42">
        <v>27</v>
      </c>
      <c r="D124" s="42">
        <v>46539</v>
      </c>
      <c r="E124" s="42">
        <f>C124*D124</f>
        <v>1256553</v>
      </c>
      <c r="F124" s="42">
        <f t="shared" si="100"/>
        <v>16428</v>
      </c>
      <c r="G124" s="42">
        <f t="shared" ref="G124" si="105">C124*F124</f>
        <v>443556</v>
      </c>
      <c r="H124" s="62">
        <v>13347.1</v>
      </c>
      <c r="I124" s="63">
        <v>1.43</v>
      </c>
      <c r="J124" s="42">
        <f t="shared" ref="J124" si="106">H124*I124</f>
        <v>19086.352999999999</v>
      </c>
      <c r="K124" s="42">
        <f>ROUND(C124*J124,0)</f>
        <v>515332</v>
      </c>
      <c r="L124" s="42"/>
      <c r="M124" s="42"/>
      <c r="N124" s="42"/>
      <c r="O124" s="42"/>
      <c r="P124" s="42">
        <f t="shared" si="103"/>
        <v>82053.353000000003</v>
      </c>
      <c r="Q124" s="58"/>
      <c r="R124" s="42">
        <f t="shared" si="104"/>
        <v>2215441</v>
      </c>
      <c r="S124" s="42"/>
      <c r="T124" s="168"/>
    </row>
    <row r="125" spans="1:23" ht="39" x14ac:dyDescent="0.25">
      <c r="A125" s="61" t="s">
        <v>112</v>
      </c>
      <c r="B125" s="51" t="s">
        <v>45</v>
      </c>
      <c r="C125" s="42"/>
      <c r="D125" s="42"/>
      <c r="E125" s="42"/>
      <c r="F125" s="42">
        <f t="shared" si="100"/>
        <v>0</v>
      </c>
      <c r="G125" s="42"/>
      <c r="H125" s="62"/>
      <c r="I125" s="42"/>
      <c r="J125" s="42"/>
      <c r="K125" s="42"/>
      <c r="L125" s="42"/>
      <c r="M125" s="42"/>
      <c r="N125" s="42"/>
      <c r="O125" s="42"/>
      <c r="P125" s="42"/>
      <c r="Q125" s="58"/>
      <c r="R125" s="42"/>
      <c r="S125" s="42"/>
      <c r="T125" s="168"/>
    </row>
    <row r="126" spans="1:23" x14ac:dyDescent="0.25">
      <c r="A126" s="61"/>
      <c r="B126" s="51" t="s">
        <v>287</v>
      </c>
      <c r="C126" s="42">
        <v>15</v>
      </c>
      <c r="D126" s="42">
        <v>67868</v>
      </c>
      <c r="E126" s="42">
        <f>C126*D126</f>
        <v>1018020</v>
      </c>
      <c r="F126" s="42">
        <f t="shared" si="100"/>
        <v>23957</v>
      </c>
      <c r="G126" s="42">
        <f t="shared" ref="G126" si="107">C126*F126</f>
        <v>359355</v>
      </c>
      <c r="H126" s="62">
        <v>13347.1</v>
      </c>
      <c r="I126" s="63">
        <v>1.43</v>
      </c>
      <c r="J126" s="42">
        <f t="shared" ref="J126" si="108">H126*I126</f>
        <v>19086.352999999999</v>
      </c>
      <c r="K126" s="42">
        <f>ROUND(C126*J126,0)</f>
        <v>286295</v>
      </c>
      <c r="L126" s="42"/>
      <c r="M126" s="42"/>
      <c r="N126" s="42"/>
      <c r="O126" s="42"/>
      <c r="P126" s="42">
        <f t="shared" si="103"/>
        <v>110911.353</v>
      </c>
      <c r="Q126" s="58"/>
      <c r="R126" s="42">
        <f t="shared" si="104"/>
        <v>1663670</v>
      </c>
      <c r="S126" s="42"/>
      <c r="T126" s="168"/>
    </row>
    <row r="127" spans="1:23" x14ac:dyDescent="0.25">
      <c r="A127" s="61"/>
      <c r="B127" s="51" t="s">
        <v>28</v>
      </c>
      <c r="C127" s="42">
        <v>100</v>
      </c>
      <c r="D127" s="42">
        <v>40721</v>
      </c>
      <c r="E127" s="42">
        <f t="shared" ref="E127:E128" si="109">C127*D127</f>
        <v>4072100</v>
      </c>
      <c r="F127" s="42">
        <f t="shared" si="100"/>
        <v>14375</v>
      </c>
      <c r="G127" s="42">
        <f t="shared" ref="G127:G128" si="110">C127*F127</f>
        <v>1437500</v>
      </c>
      <c r="H127" s="62">
        <v>13347.1</v>
      </c>
      <c r="I127" s="63">
        <v>1.43</v>
      </c>
      <c r="J127" s="42">
        <f t="shared" ref="J127:J128" si="111">H127*I127</f>
        <v>19086.352999999999</v>
      </c>
      <c r="K127" s="42">
        <f t="shared" ref="K127:K128" si="112">ROUND(C127*J127,0)</f>
        <v>1908635</v>
      </c>
      <c r="L127" s="42"/>
      <c r="M127" s="42"/>
      <c r="N127" s="42"/>
      <c r="O127" s="42"/>
      <c r="P127" s="42">
        <f t="shared" si="103"/>
        <v>74182.353000000003</v>
      </c>
      <c r="Q127" s="58"/>
      <c r="R127" s="42">
        <f t="shared" si="104"/>
        <v>7418235</v>
      </c>
      <c r="S127" s="42"/>
      <c r="T127" s="168"/>
    </row>
    <row r="128" spans="1:23" x14ac:dyDescent="0.25">
      <c r="A128" s="61"/>
      <c r="B128" s="51" t="s">
        <v>289</v>
      </c>
      <c r="C128" s="42">
        <v>15</v>
      </c>
      <c r="D128" s="42">
        <v>40721</v>
      </c>
      <c r="E128" s="42">
        <f t="shared" si="109"/>
        <v>610815</v>
      </c>
      <c r="F128" s="42">
        <f t="shared" si="100"/>
        <v>14375</v>
      </c>
      <c r="G128" s="42">
        <f t="shared" si="110"/>
        <v>215625</v>
      </c>
      <c r="H128" s="62">
        <v>13347.1</v>
      </c>
      <c r="I128" s="63">
        <v>1.43</v>
      </c>
      <c r="J128" s="42">
        <f t="shared" si="111"/>
        <v>19086.352999999999</v>
      </c>
      <c r="K128" s="42">
        <f t="shared" si="112"/>
        <v>286295</v>
      </c>
      <c r="L128" s="42"/>
      <c r="M128" s="42"/>
      <c r="N128" s="42"/>
      <c r="O128" s="42"/>
      <c r="P128" s="42">
        <f t="shared" si="103"/>
        <v>74182.353000000003</v>
      </c>
      <c r="Q128" s="58"/>
      <c r="R128" s="42">
        <f t="shared" si="104"/>
        <v>1112735</v>
      </c>
      <c r="S128" s="42"/>
      <c r="T128" s="168"/>
    </row>
    <row r="129" spans="1:23" ht="39" x14ac:dyDescent="0.25">
      <c r="A129" s="61" t="s">
        <v>113</v>
      </c>
      <c r="B129" s="51" t="s">
        <v>319</v>
      </c>
      <c r="C129" s="42"/>
      <c r="D129" s="42"/>
      <c r="E129" s="42"/>
      <c r="F129" s="42">
        <f t="shared" si="100"/>
        <v>0</v>
      </c>
      <c r="G129" s="42"/>
      <c r="H129" s="62"/>
      <c r="I129" s="42"/>
      <c r="J129" s="42"/>
      <c r="K129" s="42"/>
      <c r="L129" s="42"/>
      <c r="M129" s="42"/>
      <c r="N129" s="42"/>
      <c r="O129" s="42"/>
      <c r="P129" s="42"/>
      <c r="Q129" s="58"/>
      <c r="R129" s="42"/>
      <c r="S129" s="42"/>
      <c r="T129" s="168"/>
    </row>
    <row r="130" spans="1:23" hidden="1" x14ac:dyDescent="0.25">
      <c r="A130" s="61"/>
      <c r="B130" s="51" t="s">
        <v>27</v>
      </c>
      <c r="C130" s="42"/>
      <c r="D130" s="42"/>
      <c r="E130" s="42"/>
      <c r="F130" s="42">
        <f t="shared" si="100"/>
        <v>0</v>
      </c>
      <c r="G130" s="42"/>
      <c r="H130" s="62">
        <v>13347.1</v>
      </c>
      <c r="I130" s="42"/>
      <c r="J130" s="42"/>
      <c r="K130" s="42"/>
      <c r="L130" s="42"/>
      <c r="M130" s="42"/>
      <c r="N130" s="42"/>
      <c r="O130" s="42"/>
      <c r="P130" s="42"/>
      <c r="Q130" s="58"/>
      <c r="R130" s="42"/>
      <c r="S130" s="42"/>
      <c r="T130" s="168"/>
    </row>
    <row r="131" spans="1:23" x14ac:dyDescent="0.25">
      <c r="A131" s="61"/>
      <c r="B131" s="51" t="s">
        <v>293</v>
      </c>
      <c r="C131" s="42">
        <v>20</v>
      </c>
      <c r="D131" s="42">
        <v>144434</v>
      </c>
      <c r="E131" s="42">
        <f t="shared" ref="E131" si="113">C131*D131</f>
        <v>2888680</v>
      </c>
      <c r="F131" s="42">
        <f t="shared" si="100"/>
        <v>50985</v>
      </c>
      <c r="G131" s="42">
        <f t="shared" ref="G131" si="114">C131*F131</f>
        <v>1019700</v>
      </c>
      <c r="H131" s="62">
        <v>13347.1</v>
      </c>
      <c r="I131" s="63">
        <v>1.43</v>
      </c>
      <c r="J131" s="42">
        <f t="shared" ref="J131" si="115">H131*I131</f>
        <v>19086.352999999999</v>
      </c>
      <c r="K131" s="42">
        <f>ROUND(C131*J131,0)+112421</f>
        <v>494148</v>
      </c>
      <c r="L131" s="42"/>
      <c r="M131" s="42"/>
      <c r="N131" s="42"/>
      <c r="O131" s="42"/>
      <c r="P131" s="42">
        <f t="shared" ref="P131:P133" si="116">D131+F131+J131+N131</f>
        <v>214505.353</v>
      </c>
      <c r="Q131" s="58"/>
      <c r="R131" s="42">
        <f t="shared" ref="R131:R133" si="117">E131+G131+K131+O131</f>
        <v>4402528</v>
      </c>
      <c r="S131" s="42"/>
      <c r="T131" s="168"/>
    </row>
    <row r="132" spans="1:23" hidden="1" x14ac:dyDescent="0.25">
      <c r="A132" s="61"/>
      <c r="B132" s="51" t="s">
        <v>29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>
        <f t="shared" si="116"/>
        <v>0</v>
      </c>
      <c r="Q132" s="58"/>
      <c r="R132" s="42">
        <f t="shared" si="117"/>
        <v>0</v>
      </c>
      <c r="S132" s="42"/>
      <c r="T132" s="168"/>
    </row>
    <row r="133" spans="1:23" x14ac:dyDescent="0.25">
      <c r="A133" s="61" t="s">
        <v>114</v>
      </c>
      <c r="B133" s="51" t="s">
        <v>13</v>
      </c>
      <c r="C133" s="42">
        <v>197</v>
      </c>
      <c r="D133" s="42"/>
      <c r="E133" s="42"/>
      <c r="F133" s="42"/>
      <c r="G133" s="42"/>
      <c r="H133" s="42"/>
      <c r="I133" s="42"/>
      <c r="J133" s="42"/>
      <c r="K133" s="42"/>
      <c r="L133" s="63">
        <v>3605.27</v>
      </c>
      <c r="M133" s="117">
        <v>1.5209999999999999</v>
      </c>
      <c r="N133" s="42">
        <f t="shared" ref="N133" si="118">L133*M133</f>
        <v>5483.6156699999992</v>
      </c>
      <c r="O133" s="42">
        <f>ROUND(C133*N133,0)</f>
        <v>1080272</v>
      </c>
      <c r="P133" s="42">
        <f t="shared" si="116"/>
        <v>5483.6156699999992</v>
      </c>
      <c r="Q133" s="58"/>
      <c r="R133" s="42">
        <f t="shared" si="117"/>
        <v>1080272</v>
      </c>
      <c r="S133" s="42"/>
      <c r="T133" s="168"/>
    </row>
    <row r="134" spans="1:23" s="60" customFormat="1" hidden="1" x14ac:dyDescent="0.25">
      <c r="A134" s="56"/>
      <c r="B134" s="51" t="s">
        <v>27</v>
      </c>
      <c r="C134" s="58"/>
      <c r="D134" s="58"/>
      <c r="E134" s="58"/>
      <c r="F134" s="42"/>
      <c r="G134" s="58"/>
      <c r="H134" s="42"/>
      <c r="I134" s="58"/>
      <c r="J134" s="42"/>
      <c r="K134" s="42"/>
      <c r="L134" s="42"/>
      <c r="M134" s="42"/>
      <c r="N134" s="42"/>
      <c r="O134" s="42"/>
      <c r="P134" s="42"/>
      <c r="Q134" s="58"/>
      <c r="R134" s="42"/>
      <c r="S134" s="58"/>
      <c r="T134" s="168"/>
      <c r="U134" s="68"/>
      <c r="V134" s="66"/>
      <c r="W134" s="66"/>
    </row>
    <row r="135" spans="1:23" hidden="1" x14ac:dyDescent="0.25">
      <c r="A135" s="61"/>
      <c r="B135" s="51" t="s">
        <v>28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58"/>
      <c r="R135" s="42"/>
      <c r="S135" s="42"/>
      <c r="T135" s="168"/>
    </row>
    <row r="136" spans="1:23" hidden="1" x14ac:dyDescent="0.25">
      <c r="A136" s="61"/>
      <c r="B136" s="51" t="s">
        <v>29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58"/>
      <c r="R136" s="42"/>
      <c r="S136" s="42"/>
      <c r="T136" s="168"/>
    </row>
    <row r="137" spans="1:23" x14ac:dyDescent="0.25">
      <c r="A137" s="85"/>
      <c r="B137" s="86" t="s">
        <v>315</v>
      </c>
      <c r="C137" s="75">
        <f>C123+C124+C126+C127+C128+C131</f>
        <v>197</v>
      </c>
      <c r="D137" s="75"/>
      <c r="E137" s="75">
        <f>E123+E124+E126+E127+E128+E131</f>
        <v>10846000</v>
      </c>
      <c r="F137" s="75"/>
      <c r="G137" s="75">
        <f>G123+G124+G126+G127+G128+G131</f>
        <v>3804296</v>
      </c>
      <c r="H137" s="75"/>
      <c r="I137" s="75"/>
      <c r="J137" s="75"/>
      <c r="K137" s="75">
        <f>K123+K124+K126+K127+K128+K131+K133</f>
        <v>3872432</v>
      </c>
      <c r="L137" s="75"/>
      <c r="M137" s="75"/>
      <c r="N137" s="75"/>
      <c r="O137" s="75">
        <f>O123+O124+O126+O127+O128+O131+O133</f>
        <v>1080272</v>
      </c>
      <c r="P137" s="75"/>
      <c r="Q137" s="75"/>
      <c r="R137" s="75">
        <f>R123+R124+R126+R127+R128+R131+R133</f>
        <v>19603000</v>
      </c>
      <c r="S137" s="75">
        <v>228000</v>
      </c>
      <c r="T137" s="170">
        <f>R137+S137</f>
        <v>19831000</v>
      </c>
      <c r="U137" s="180"/>
      <c r="V137" s="180"/>
    </row>
    <row r="138" spans="1:23" s="60" customFormat="1" x14ac:dyDescent="0.25">
      <c r="A138" s="56">
        <v>9</v>
      </c>
      <c r="B138" s="57" t="s">
        <v>38</v>
      </c>
      <c r="C138" s="58"/>
      <c r="D138" s="58"/>
      <c r="E138" s="58"/>
      <c r="F138" s="58"/>
      <c r="G138" s="58"/>
      <c r="H138" s="58"/>
      <c r="I138" s="58"/>
      <c r="J138" s="42"/>
      <c r="K138" s="58"/>
      <c r="L138" s="58"/>
      <c r="M138" s="58"/>
      <c r="N138" s="58"/>
      <c r="O138" s="58"/>
      <c r="P138" s="42"/>
      <c r="Q138" s="58"/>
      <c r="R138" s="58"/>
      <c r="S138" s="58"/>
      <c r="T138" s="168"/>
      <c r="U138" s="68"/>
      <c r="V138" s="66"/>
      <c r="W138" s="66"/>
    </row>
    <row r="139" spans="1:23" ht="39" x14ac:dyDescent="0.25">
      <c r="A139" s="61" t="s">
        <v>115</v>
      </c>
      <c r="B139" s="51" t="s">
        <v>44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58"/>
      <c r="R139" s="42"/>
      <c r="S139" s="42"/>
      <c r="T139" s="168"/>
    </row>
    <row r="140" spans="1:23" x14ac:dyDescent="0.25">
      <c r="A140" s="61"/>
      <c r="B140" s="51" t="s">
        <v>27</v>
      </c>
      <c r="C140" s="42"/>
      <c r="D140" s="42">
        <v>77562</v>
      </c>
      <c r="E140" s="42">
        <f>C140*D140</f>
        <v>0</v>
      </c>
      <c r="F140" s="42">
        <f t="shared" ref="F140:F150" si="119">ROUND(D140*35.3%,0)</f>
        <v>27379</v>
      </c>
      <c r="G140" s="42">
        <f t="shared" ref="G140:G146" si="120">C140*F140</f>
        <v>0</v>
      </c>
      <c r="H140" s="62">
        <v>13347.1</v>
      </c>
      <c r="I140" s="63">
        <v>1.57</v>
      </c>
      <c r="J140" s="42">
        <f t="shared" ref="J140:J142" si="121">H140*I140</f>
        <v>20954.947</v>
      </c>
      <c r="K140" s="42">
        <f>ROUND(C140*J140,0)</f>
        <v>0</v>
      </c>
      <c r="L140" s="42"/>
      <c r="M140" s="42"/>
      <c r="N140" s="42"/>
      <c r="O140" s="42"/>
      <c r="P140" s="42">
        <f t="shared" ref="P140:P142" si="122">D140+F140+J140+N140</f>
        <v>125895.947</v>
      </c>
      <c r="Q140" s="58"/>
      <c r="R140" s="42">
        <f t="shared" ref="R140:R142" si="123">E140+G140+K140+O140</f>
        <v>0</v>
      </c>
      <c r="S140" s="42"/>
      <c r="T140" s="168"/>
    </row>
    <row r="141" spans="1:23" x14ac:dyDescent="0.25">
      <c r="A141" s="61"/>
      <c r="B141" s="51" t="s">
        <v>28</v>
      </c>
      <c r="C141" s="42">
        <v>10</v>
      </c>
      <c r="D141" s="42">
        <v>46539</v>
      </c>
      <c r="E141" s="42">
        <f>C141*D141+77230</f>
        <v>542620</v>
      </c>
      <c r="F141" s="42">
        <f t="shared" si="119"/>
        <v>16428</v>
      </c>
      <c r="G141" s="42">
        <f t="shared" si="120"/>
        <v>164280</v>
      </c>
      <c r="H141" s="62">
        <v>13347.1</v>
      </c>
      <c r="I141" s="63">
        <v>1.57</v>
      </c>
      <c r="J141" s="42">
        <f t="shared" si="121"/>
        <v>20954.947</v>
      </c>
      <c r="K141" s="42">
        <f>ROUND(C141*J141,0)</f>
        <v>209549</v>
      </c>
      <c r="L141" s="42"/>
      <c r="M141" s="42"/>
      <c r="N141" s="42"/>
      <c r="O141" s="42"/>
      <c r="P141" s="42">
        <f t="shared" si="122"/>
        <v>83921.947</v>
      </c>
      <c r="Q141" s="58"/>
      <c r="R141" s="42">
        <f t="shared" si="123"/>
        <v>916449</v>
      </c>
      <c r="S141" s="42"/>
      <c r="T141" s="168"/>
    </row>
    <row r="142" spans="1:23" x14ac:dyDescent="0.25">
      <c r="A142" s="61"/>
      <c r="B142" s="51" t="s">
        <v>293</v>
      </c>
      <c r="C142" s="42">
        <v>15</v>
      </c>
      <c r="D142" s="42">
        <v>46539</v>
      </c>
      <c r="E142" s="42">
        <f t="shared" ref="E142" si="124">C142*D142</f>
        <v>698085</v>
      </c>
      <c r="F142" s="42">
        <f t="shared" si="119"/>
        <v>16428</v>
      </c>
      <c r="G142" s="42">
        <f t="shared" si="120"/>
        <v>246420</v>
      </c>
      <c r="H142" s="62">
        <v>13347.1</v>
      </c>
      <c r="I142" s="63">
        <v>1.57</v>
      </c>
      <c r="J142" s="42">
        <f t="shared" si="121"/>
        <v>20954.947</v>
      </c>
      <c r="K142" s="42">
        <f>ROUND(C142*J142,0)</f>
        <v>314324</v>
      </c>
      <c r="L142" s="42"/>
      <c r="M142" s="42"/>
      <c r="N142" s="42"/>
      <c r="O142" s="42"/>
      <c r="P142" s="42">
        <f t="shared" si="122"/>
        <v>83921.947</v>
      </c>
      <c r="Q142" s="58"/>
      <c r="R142" s="42">
        <f t="shared" si="123"/>
        <v>1258829</v>
      </c>
      <c r="S142" s="42"/>
      <c r="T142" s="168"/>
    </row>
    <row r="143" spans="1:23" ht="39" x14ac:dyDescent="0.25">
      <c r="A143" s="61" t="s">
        <v>116</v>
      </c>
      <c r="B143" s="51" t="s">
        <v>45</v>
      </c>
      <c r="C143" s="42"/>
      <c r="D143" s="42"/>
      <c r="E143" s="42"/>
      <c r="F143" s="42">
        <f t="shared" si="119"/>
        <v>0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58"/>
      <c r="R143" s="42"/>
      <c r="S143" s="42"/>
      <c r="T143" s="168"/>
    </row>
    <row r="144" spans="1:23" x14ac:dyDescent="0.25">
      <c r="A144" s="61"/>
      <c r="B144" s="51" t="s">
        <v>27</v>
      </c>
      <c r="C144" s="42">
        <v>30</v>
      </c>
      <c r="D144" s="42">
        <v>67868</v>
      </c>
      <c r="E144" s="42">
        <f t="shared" ref="E144:E146" si="125">C144*D144</f>
        <v>2036040</v>
      </c>
      <c r="F144" s="42">
        <f t="shared" si="119"/>
        <v>23957</v>
      </c>
      <c r="G144" s="42">
        <f t="shared" si="120"/>
        <v>718710</v>
      </c>
      <c r="H144" s="62">
        <v>13347.1</v>
      </c>
      <c r="I144" s="63">
        <v>1.57</v>
      </c>
      <c r="J144" s="42">
        <f t="shared" ref="J144" si="126">H144*I144</f>
        <v>20954.947</v>
      </c>
      <c r="K144" s="42">
        <f t="shared" ref="K144" si="127">ROUND(C144*J144,0)</f>
        <v>628648</v>
      </c>
      <c r="L144" s="42"/>
      <c r="M144" s="42"/>
      <c r="N144" s="42"/>
      <c r="O144" s="42"/>
      <c r="P144" s="42">
        <f t="shared" ref="P144:P151" si="128">D144+F144+J144+N144</f>
        <v>112779.947</v>
      </c>
      <c r="Q144" s="58"/>
      <c r="R144" s="42">
        <f t="shared" ref="R144:R151" si="129">E144+G144+K144+O144</f>
        <v>3383398</v>
      </c>
      <c r="S144" s="42"/>
      <c r="T144" s="168"/>
    </row>
    <row r="145" spans="1:23" x14ac:dyDescent="0.25">
      <c r="A145" s="61"/>
      <c r="B145" s="51" t="s">
        <v>28</v>
      </c>
      <c r="C145" s="42">
        <v>150</v>
      </c>
      <c r="D145" s="42">
        <v>40721</v>
      </c>
      <c r="E145" s="42">
        <f t="shared" si="125"/>
        <v>6108150</v>
      </c>
      <c r="F145" s="42">
        <f t="shared" si="119"/>
        <v>14375</v>
      </c>
      <c r="G145" s="42">
        <f t="shared" si="120"/>
        <v>2156250</v>
      </c>
      <c r="H145" s="62">
        <v>13347.1</v>
      </c>
      <c r="I145" s="63">
        <v>1.57</v>
      </c>
      <c r="J145" s="42">
        <f t="shared" ref="J145:J146" si="130">H145*I145</f>
        <v>20954.947</v>
      </c>
      <c r="K145" s="42">
        <f t="shared" ref="K145:K146" si="131">ROUND(C145*J145,0)</f>
        <v>3143242</v>
      </c>
      <c r="L145" s="42"/>
      <c r="M145" s="42"/>
      <c r="N145" s="42"/>
      <c r="O145" s="42"/>
      <c r="P145" s="42">
        <f t="shared" si="128"/>
        <v>76050.947</v>
      </c>
      <c r="Q145" s="58"/>
      <c r="R145" s="42">
        <f t="shared" si="129"/>
        <v>11407642</v>
      </c>
      <c r="S145" s="42"/>
      <c r="T145" s="168"/>
    </row>
    <row r="146" spans="1:23" x14ac:dyDescent="0.25">
      <c r="A146" s="61"/>
      <c r="B146" s="51" t="s">
        <v>293</v>
      </c>
      <c r="C146" s="42">
        <v>25</v>
      </c>
      <c r="D146" s="42">
        <v>40721</v>
      </c>
      <c r="E146" s="42">
        <f t="shared" si="125"/>
        <v>1018025</v>
      </c>
      <c r="F146" s="42">
        <f t="shared" si="119"/>
        <v>14375</v>
      </c>
      <c r="G146" s="42">
        <f t="shared" si="120"/>
        <v>359375</v>
      </c>
      <c r="H146" s="62">
        <v>13347.1</v>
      </c>
      <c r="I146" s="63">
        <v>1.57</v>
      </c>
      <c r="J146" s="42">
        <f t="shared" si="130"/>
        <v>20954.947</v>
      </c>
      <c r="K146" s="42">
        <f t="shared" si="131"/>
        <v>523874</v>
      </c>
      <c r="L146" s="42"/>
      <c r="M146" s="42"/>
      <c r="N146" s="42"/>
      <c r="O146" s="42"/>
      <c r="P146" s="42">
        <f t="shared" si="128"/>
        <v>76050.947</v>
      </c>
      <c r="Q146" s="58"/>
      <c r="R146" s="42">
        <f t="shared" si="129"/>
        <v>1901274</v>
      </c>
      <c r="S146" s="42"/>
      <c r="T146" s="168"/>
    </row>
    <row r="147" spans="1:23" ht="39" x14ac:dyDescent="0.25">
      <c r="A147" s="61" t="s">
        <v>117</v>
      </c>
      <c r="B147" s="51" t="s">
        <v>320</v>
      </c>
      <c r="C147" s="42"/>
      <c r="D147" s="42"/>
      <c r="E147" s="42"/>
      <c r="F147" s="42">
        <f t="shared" si="119"/>
        <v>0</v>
      </c>
      <c r="G147" s="42"/>
      <c r="H147" s="62"/>
      <c r="I147" s="42"/>
      <c r="J147" s="42"/>
      <c r="K147" s="42"/>
      <c r="L147" s="42"/>
      <c r="M147" s="42"/>
      <c r="N147" s="42"/>
      <c r="O147" s="42"/>
      <c r="P147" s="42"/>
      <c r="Q147" s="58"/>
      <c r="R147" s="42"/>
      <c r="S147" s="42"/>
      <c r="T147" s="168"/>
    </row>
    <row r="148" spans="1:23" x14ac:dyDescent="0.25">
      <c r="A148" s="61"/>
      <c r="B148" s="51" t="s">
        <v>27</v>
      </c>
      <c r="C148" s="42"/>
      <c r="D148" s="42"/>
      <c r="E148" s="42"/>
      <c r="F148" s="42">
        <f t="shared" si="119"/>
        <v>0</v>
      </c>
      <c r="G148" s="42"/>
      <c r="H148" s="62"/>
      <c r="I148" s="42"/>
      <c r="J148" s="42"/>
      <c r="K148" s="42"/>
      <c r="L148" s="42"/>
      <c r="M148" s="42"/>
      <c r="N148" s="42"/>
      <c r="O148" s="42"/>
      <c r="P148" s="42">
        <f t="shared" si="128"/>
        <v>0</v>
      </c>
      <c r="Q148" s="58"/>
      <c r="R148" s="42">
        <f t="shared" si="129"/>
        <v>0</v>
      </c>
      <c r="S148" s="42"/>
      <c r="T148" s="168"/>
    </row>
    <row r="149" spans="1:23" x14ac:dyDescent="0.25">
      <c r="A149" s="61"/>
      <c r="B149" s="51" t="s">
        <v>28</v>
      </c>
      <c r="C149" s="42"/>
      <c r="D149" s="42"/>
      <c r="E149" s="42"/>
      <c r="F149" s="42">
        <f t="shared" si="119"/>
        <v>0</v>
      </c>
      <c r="G149" s="42"/>
      <c r="H149" s="62"/>
      <c r="I149" s="42"/>
      <c r="J149" s="42"/>
      <c r="K149" s="42"/>
      <c r="L149" s="42"/>
      <c r="M149" s="42"/>
      <c r="N149" s="42"/>
      <c r="O149" s="42"/>
      <c r="P149" s="42">
        <f t="shared" si="128"/>
        <v>0</v>
      </c>
      <c r="Q149" s="58"/>
      <c r="R149" s="42">
        <f t="shared" si="129"/>
        <v>0</v>
      </c>
      <c r="S149" s="42"/>
      <c r="T149" s="168"/>
    </row>
    <row r="150" spans="1:23" x14ac:dyDescent="0.25">
      <c r="A150" s="61"/>
      <c r="B150" s="51" t="s">
        <v>29</v>
      </c>
      <c r="C150" s="42">
        <v>10</v>
      </c>
      <c r="D150" s="42">
        <v>168508</v>
      </c>
      <c r="E150" s="42">
        <f t="shared" ref="E150" si="132">C150*D150</f>
        <v>1685080</v>
      </c>
      <c r="F150" s="42">
        <f t="shared" si="119"/>
        <v>59483</v>
      </c>
      <c r="G150" s="42">
        <f t="shared" ref="G150" si="133">C150*F150</f>
        <v>594830</v>
      </c>
      <c r="H150" s="62">
        <v>13347.1</v>
      </c>
      <c r="I150" s="63">
        <v>1.57</v>
      </c>
      <c r="J150" s="42">
        <f t="shared" ref="J150" si="134">H150*I150</f>
        <v>20954.947</v>
      </c>
      <c r="K150" s="42">
        <f>ROUND(C150*J150,0)+140974</f>
        <v>350523</v>
      </c>
      <c r="L150" s="42"/>
      <c r="M150" s="42"/>
      <c r="N150" s="42"/>
      <c r="O150" s="42"/>
      <c r="P150" s="42">
        <f t="shared" si="128"/>
        <v>248945.94699999999</v>
      </c>
      <c r="Q150" s="58"/>
      <c r="R150" s="42">
        <f t="shared" si="129"/>
        <v>2630433</v>
      </c>
      <c r="S150" s="42"/>
      <c r="T150" s="168"/>
    </row>
    <row r="151" spans="1:23" x14ac:dyDescent="0.25">
      <c r="A151" s="61" t="s">
        <v>118</v>
      </c>
      <c r="B151" s="51" t="s">
        <v>13</v>
      </c>
      <c r="C151" s="42">
        <v>240</v>
      </c>
      <c r="D151" s="42"/>
      <c r="E151" s="42"/>
      <c r="F151" s="42"/>
      <c r="G151" s="42"/>
      <c r="H151" s="42"/>
      <c r="I151" s="42"/>
      <c r="J151" s="42"/>
      <c r="K151" s="42"/>
      <c r="L151" s="63">
        <v>3605.27</v>
      </c>
      <c r="M151" s="117">
        <v>1.492</v>
      </c>
      <c r="N151" s="42">
        <f t="shared" ref="N151" si="135">L151*M151</f>
        <v>5379.0628399999996</v>
      </c>
      <c r="O151" s="42">
        <f>ROUND(C151*N151,0)</f>
        <v>1290975</v>
      </c>
      <c r="P151" s="42">
        <f t="shared" si="128"/>
        <v>5379.0628399999996</v>
      </c>
      <c r="Q151" s="58"/>
      <c r="R151" s="42">
        <f t="shared" si="129"/>
        <v>1290975</v>
      </c>
      <c r="S151" s="42"/>
      <c r="T151" s="168"/>
    </row>
    <row r="152" spans="1:23" s="60" customFormat="1" hidden="1" x14ac:dyDescent="0.25">
      <c r="A152" s="56"/>
      <c r="B152" s="51" t="s">
        <v>27</v>
      </c>
      <c r="C152" s="58"/>
      <c r="D152" s="58"/>
      <c r="E152" s="58"/>
      <c r="F152" s="42"/>
      <c r="G152" s="58"/>
      <c r="H152" s="42"/>
      <c r="I152" s="58"/>
      <c r="J152" s="42"/>
      <c r="K152" s="42"/>
      <c r="L152" s="42"/>
      <c r="M152" s="42"/>
      <c r="N152" s="42"/>
      <c r="O152" s="42"/>
      <c r="P152" s="42"/>
      <c r="Q152" s="58"/>
      <c r="R152" s="42"/>
      <c r="S152" s="58"/>
      <c r="T152" s="168"/>
      <c r="U152" s="68"/>
      <c r="V152" s="66"/>
      <c r="W152" s="66"/>
    </row>
    <row r="153" spans="1:23" hidden="1" x14ac:dyDescent="0.25">
      <c r="A153" s="61"/>
      <c r="B153" s="51" t="s">
        <v>28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58"/>
      <c r="R153" s="42"/>
      <c r="S153" s="42"/>
      <c r="T153" s="168"/>
    </row>
    <row r="154" spans="1:23" hidden="1" x14ac:dyDescent="0.25">
      <c r="A154" s="61"/>
      <c r="B154" s="51" t="s">
        <v>29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58"/>
      <c r="R154" s="42"/>
      <c r="S154" s="42"/>
      <c r="T154" s="168"/>
    </row>
    <row r="155" spans="1:23" x14ac:dyDescent="0.25">
      <c r="A155" s="85"/>
      <c r="B155" s="86" t="s">
        <v>315</v>
      </c>
      <c r="C155" s="75">
        <f>C140+C144+C145+C146+C150+C141+C142</f>
        <v>240</v>
      </c>
      <c r="D155" s="75"/>
      <c r="E155" s="75">
        <f>E140+E144+E145+E146+E150+E141+E142</f>
        <v>12088000</v>
      </c>
      <c r="F155" s="75"/>
      <c r="G155" s="75">
        <f>G140+G144+G145+G146+G150+G151+G141+G142</f>
        <v>4239865</v>
      </c>
      <c r="H155" s="75"/>
      <c r="I155" s="75"/>
      <c r="J155" s="75"/>
      <c r="K155" s="75">
        <f>K140+K144+K145+K146+K150+K151+K141+K142</f>
        <v>5170160</v>
      </c>
      <c r="L155" s="75"/>
      <c r="M155" s="75"/>
      <c r="N155" s="75"/>
      <c r="O155" s="75">
        <f>O140+O144+O145+O146+O150+O151</f>
        <v>1290975</v>
      </c>
      <c r="P155" s="75"/>
      <c r="Q155" s="75"/>
      <c r="R155" s="75">
        <f>R140+R144+R145+R146+R150+R151+R141+R142</f>
        <v>22789000</v>
      </c>
      <c r="S155" s="75">
        <v>171000</v>
      </c>
      <c r="T155" s="170">
        <f>R155+S155</f>
        <v>22960000</v>
      </c>
      <c r="U155" s="180"/>
      <c r="V155" s="180"/>
    </row>
    <row r="156" spans="1:23" s="60" customFormat="1" x14ac:dyDescent="0.25">
      <c r="A156" s="56">
        <v>10</v>
      </c>
      <c r="B156" s="57" t="s">
        <v>211</v>
      </c>
      <c r="C156" s="58"/>
      <c r="D156" s="58"/>
      <c r="E156" s="58"/>
      <c r="F156" s="42"/>
      <c r="G156" s="58"/>
      <c r="H156" s="58"/>
      <c r="I156" s="58"/>
      <c r="J156" s="42"/>
      <c r="K156" s="58"/>
      <c r="L156" s="58"/>
      <c r="M156" s="58"/>
      <c r="N156" s="58"/>
      <c r="O156" s="58"/>
      <c r="P156" s="42"/>
      <c r="Q156" s="58"/>
      <c r="R156" s="58"/>
      <c r="S156" s="58"/>
      <c r="T156" s="168"/>
      <c r="U156" s="68"/>
      <c r="V156" s="66"/>
      <c r="W156" s="66"/>
    </row>
    <row r="157" spans="1:23" ht="39" x14ac:dyDescent="0.25">
      <c r="A157" s="61" t="s">
        <v>119</v>
      </c>
      <c r="B157" s="51" t="s">
        <v>44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58"/>
      <c r="R157" s="42"/>
      <c r="S157" s="42"/>
      <c r="T157" s="168"/>
    </row>
    <row r="158" spans="1:23" x14ac:dyDescent="0.25">
      <c r="A158" s="61"/>
      <c r="B158" s="51" t="s">
        <v>287</v>
      </c>
      <c r="C158" s="42"/>
      <c r="D158" s="42"/>
      <c r="E158" s="42"/>
      <c r="F158" s="42"/>
      <c r="G158" s="42"/>
      <c r="H158" s="42"/>
      <c r="I158" s="63"/>
      <c r="J158" s="42"/>
      <c r="K158" s="42"/>
      <c r="L158" s="42"/>
      <c r="M158" s="42"/>
      <c r="N158" s="42"/>
      <c r="O158" s="42"/>
      <c r="P158" s="42"/>
      <c r="Q158" s="58"/>
      <c r="R158" s="42"/>
      <c r="S158" s="42"/>
      <c r="T158" s="168"/>
    </row>
    <row r="159" spans="1:23" x14ac:dyDescent="0.25">
      <c r="A159" s="61"/>
      <c r="B159" s="51" t="s">
        <v>28</v>
      </c>
      <c r="C159" s="42"/>
      <c r="D159" s="42"/>
      <c r="E159" s="42"/>
      <c r="F159" s="42"/>
      <c r="G159" s="42"/>
      <c r="H159" s="42"/>
      <c r="I159" s="63"/>
      <c r="J159" s="42"/>
      <c r="K159" s="42"/>
      <c r="L159" s="42"/>
      <c r="M159" s="42"/>
      <c r="N159" s="42"/>
      <c r="O159" s="42"/>
      <c r="P159" s="42"/>
      <c r="Q159" s="58"/>
      <c r="R159" s="42"/>
      <c r="S159" s="42"/>
      <c r="T159" s="168"/>
    </row>
    <row r="160" spans="1:23" x14ac:dyDescent="0.25">
      <c r="A160" s="61"/>
      <c r="B160" s="51" t="s">
        <v>293</v>
      </c>
      <c r="C160" s="42">
        <v>50</v>
      </c>
      <c r="D160" s="42">
        <v>46539</v>
      </c>
      <c r="E160" s="42">
        <f>C160*D160+81890</f>
        <v>2408840</v>
      </c>
      <c r="F160" s="42">
        <f t="shared" ref="F160:F168" si="136">ROUND(D160*35.3%,0)</f>
        <v>16428</v>
      </c>
      <c r="G160" s="42">
        <f t="shared" ref="G160:G164" si="137">C160*F160</f>
        <v>821400</v>
      </c>
      <c r="H160" s="62">
        <v>13347.1</v>
      </c>
      <c r="I160" s="63">
        <v>1.45</v>
      </c>
      <c r="J160" s="42">
        <f t="shared" ref="J160:J162" si="138">H160*I160</f>
        <v>19353.294999999998</v>
      </c>
      <c r="K160" s="42">
        <f>ROUND(C160*J160,0)</f>
        <v>967665</v>
      </c>
      <c r="L160" s="42"/>
      <c r="M160" s="42"/>
      <c r="N160" s="42"/>
      <c r="O160" s="42"/>
      <c r="P160" s="42">
        <f t="shared" ref="P160" si="139">D160+F160+J160+N160</f>
        <v>82320.294999999998</v>
      </c>
      <c r="Q160" s="58"/>
      <c r="R160" s="42">
        <f t="shared" ref="R160" si="140">E160+G160+K160+O160</f>
        <v>4197905</v>
      </c>
      <c r="S160" s="42"/>
      <c r="T160" s="168"/>
    </row>
    <row r="161" spans="1:23" ht="39" x14ac:dyDescent="0.25">
      <c r="A161" s="61" t="s">
        <v>120</v>
      </c>
      <c r="B161" s="51" t="s">
        <v>45</v>
      </c>
      <c r="C161" s="42"/>
      <c r="D161" s="42"/>
      <c r="E161" s="42"/>
      <c r="F161" s="42">
        <f t="shared" si="136"/>
        <v>0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58"/>
      <c r="R161" s="42"/>
      <c r="S161" s="42"/>
      <c r="T161" s="168"/>
    </row>
    <row r="162" spans="1:23" x14ac:dyDescent="0.25">
      <c r="A162" s="61"/>
      <c r="B162" s="51" t="s">
        <v>27</v>
      </c>
      <c r="C162" s="42">
        <v>30</v>
      </c>
      <c r="D162" s="42">
        <v>67868</v>
      </c>
      <c r="E162" s="42">
        <f t="shared" ref="E162:E164" si="141">C162*D162</f>
        <v>2036040</v>
      </c>
      <c r="F162" s="42">
        <f t="shared" si="136"/>
        <v>23957</v>
      </c>
      <c r="G162" s="42">
        <f t="shared" si="137"/>
        <v>718710</v>
      </c>
      <c r="H162" s="62">
        <v>13347.1</v>
      </c>
      <c r="I162" s="63">
        <v>1.45</v>
      </c>
      <c r="J162" s="42">
        <f t="shared" si="138"/>
        <v>19353.294999999998</v>
      </c>
      <c r="K162" s="42">
        <f>ROUND(C162*J162,0)</f>
        <v>580599</v>
      </c>
      <c r="L162" s="42"/>
      <c r="M162" s="42"/>
      <c r="N162" s="42"/>
      <c r="O162" s="42"/>
      <c r="P162" s="42">
        <f t="shared" ref="P162:P164" si="142">D162+F162+J162+N162</f>
        <v>111178.295</v>
      </c>
      <c r="Q162" s="58"/>
      <c r="R162" s="42">
        <f t="shared" ref="R162:R164" si="143">E162+G162+K162+O162</f>
        <v>3335349</v>
      </c>
      <c r="S162" s="42"/>
      <c r="T162" s="168"/>
    </row>
    <row r="163" spans="1:23" x14ac:dyDescent="0.25">
      <c r="A163" s="61"/>
      <c r="B163" s="51" t="s">
        <v>28</v>
      </c>
      <c r="C163" s="42">
        <v>70</v>
      </c>
      <c r="D163" s="42">
        <v>40721</v>
      </c>
      <c r="E163" s="42">
        <f t="shared" si="141"/>
        <v>2850470</v>
      </c>
      <c r="F163" s="42">
        <f t="shared" si="136"/>
        <v>14375</v>
      </c>
      <c r="G163" s="42">
        <f t="shared" si="137"/>
        <v>1006250</v>
      </c>
      <c r="H163" s="62">
        <v>13347.1</v>
      </c>
      <c r="I163" s="63">
        <v>1.45</v>
      </c>
      <c r="J163" s="42">
        <f t="shared" ref="J163" si="144">H163*I163</f>
        <v>19353.294999999998</v>
      </c>
      <c r="K163" s="42">
        <f t="shared" ref="K163" si="145">ROUND(C163*J163,0)</f>
        <v>1354731</v>
      </c>
      <c r="L163" s="42"/>
      <c r="M163" s="42"/>
      <c r="N163" s="42"/>
      <c r="O163" s="42"/>
      <c r="P163" s="42">
        <f t="shared" si="142"/>
        <v>74449.294999999998</v>
      </c>
      <c r="Q163" s="58"/>
      <c r="R163" s="42">
        <f t="shared" si="143"/>
        <v>5211451</v>
      </c>
      <c r="S163" s="42"/>
      <c r="T163" s="168"/>
    </row>
    <row r="164" spans="1:23" x14ac:dyDescent="0.25">
      <c r="A164" s="61"/>
      <c r="B164" s="51" t="s">
        <v>293</v>
      </c>
      <c r="C164" s="42">
        <v>30</v>
      </c>
      <c r="D164" s="42">
        <v>40721</v>
      </c>
      <c r="E164" s="42">
        <f t="shared" si="141"/>
        <v>1221630</v>
      </c>
      <c r="F164" s="42">
        <f t="shared" si="136"/>
        <v>14375</v>
      </c>
      <c r="G164" s="42">
        <f t="shared" si="137"/>
        <v>431250</v>
      </c>
      <c r="H164" s="62">
        <v>13347.1</v>
      </c>
      <c r="I164" s="63">
        <v>1.45</v>
      </c>
      <c r="J164" s="42">
        <f t="shared" ref="J164" si="146">H164*I164</f>
        <v>19353.294999999998</v>
      </c>
      <c r="K164" s="42">
        <f t="shared" ref="K164" si="147">ROUND(C164*J164,0)</f>
        <v>580599</v>
      </c>
      <c r="L164" s="42"/>
      <c r="M164" s="42"/>
      <c r="N164" s="42"/>
      <c r="O164" s="42"/>
      <c r="P164" s="42">
        <f t="shared" si="142"/>
        <v>74449.294999999998</v>
      </c>
      <c r="Q164" s="58"/>
      <c r="R164" s="42">
        <f t="shared" si="143"/>
        <v>2233479</v>
      </c>
      <c r="S164" s="42"/>
      <c r="T164" s="168"/>
    </row>
    <row r="165" spans="1:23" ht="39" x14ac:dyDescent="0.25">
      <c r="A165" s="61" t="s">
        <v>121</v>
      </c>
      <c r="B165" s="51" t="s">
        <v>319</v>
      </c>
      <c r="C165" s="42"/>
      <c r="D165" s="42"/>
      <c r="E165" s="42"/>
      <c r="F165" s="42">
        <f t="shared" si="136"/>
        <v>0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58"/>
      <c r="R165" s="42"/>
      <c r="S165" s="42"/>
      <c r="T165" s="168"/>
    </row>
    <row r="166" spans="1:23" hidden="1" x14ac:dyDescent="0.25">
      <c r="A166" s="61"/>
      <c r="B166" s="51" t="s">
        <v>27</v>
      </c>
      <c r="C166" s="42"/>
      <c r="D166" s="42"/>
      <c r="E166" s="42"/>
      <c r="F166" s="42">
        <f t="shared" si="136"/>
        <v>0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58"/>
      <c r="R166" s="42"/>
      <c r="S166" s="42"/>
      <c r="T166" s="168"/>
    </row>
    <row r="167" spans="1:23" x14ac:dyDescent="0.25">
      <c r="A167" s="61"/>
      <c r="B167" s="51" t="s">
        <v>28</v>
      </c>
      <c r="C167" s="42"/>
      <c r="D167" s="42"/>
      <c r="E167" s="42"/>
      <c r="F167" s="42">
        <f t="shared" si="136"/>
        <v>0</v>
      </c>
      <c r="G167" s="42"/>
      <c r="H167" s="42"/>
      <c r="I167" s="63"/>
      <c r="J167" s="42"/>
      <c r="K167" s="42"/>
      <c r="L167" s="42"/>
      <c r="M167" s="42"/>
      <c r="N167" s="42"/>
      <c r="O167" s="42"/>
      <c r="P167" s="42"/>
      <c r="Q167" s="58"/>
      <c r="R167" s="42"/>
      <c r="S167" s="42"/>
      <c r="T167" s="168"/>
    </row>
    <row r="168" spans="1:23" x14ac:dyDescent="0.25">
      <c r="A168" s="61"/>
      <c r="B168" s="51" t="s">
        <v>289</v>
      </c>
      <c r="C168" s="42">
        <v>30</v>
      </c>
      <c r="D168" s="42">
        <v>144434</v>
      </c>
      <c r="E168" s="42">
        <f t="shared" ref="E168" si="148">C168*D168</f>
        <v>4333020</v>
      </c>
      <c r="F168" s="42">
        <f t="shared" si="136"/>
        <v>50985</v>
      </c>
      <c r="G168" s="42">
        <f t="shared" ref="G168" si="149">C168*F168</f>
        <v>1529550</v>
      </c>
      <c r="H168" s="62">
        <v>13347.1</v>
      </c>
      <c r="I168" s="63">
        <v>1.45</v>
      </c>
      <c r="J168" s="42">
        <f t="shared" ref="J168" si="150">H168*I168</f>
        <v>19353.294999999998</v>
      </c>
      <c r="K168" s="42">
        <f>ROUND(C168*J168,0)+123434</f>
        <v>704033</v>
      </c>
      <c r="L168" s="42"/>
      <c r="M168" s="42"/>
      <c r="N168" s="42"/>
      <c r="O168" s="42"/>
      <c r="P168" s="42">
        <f t="shared" ref="P168:P169" si="151">D168+F168+J168+N168</f>
        <v>214772.29499999998</v>
      </c>
      <c r="Q168" s="58"/>
      <c r="R168" s="42">
        <f t="shared" ref="R168:R169" si="152">E168+G168+K168+O168</f>
        <v>6566603</v>
      </c>
      <c r="S168" s="42"/>
      <c r="T168" s="168"/>
    </row>
    <row r="169" spans="1:23" x14ac:dyDescent="0.25">
      <c r="A169" s="61" t="s">
        <v>122</v>
      </c>
      <c r="B169" s="51" t="s">
        <v>13</v>
      </c>
      <c r="C169" s="42">
        <v>210</v>
      </c>
      <c r="D169" s="42"/>
      <c r="E169" s="42"/>
      <c r="F169" s="42"/>
      <c r="G169" s="42"/>
      <c r="H169" s="42"/>
      <c r="I169" s="42"/>
      <c r="J169" s="42"/>
      <c r="K169" s="42"/>
      <c r="L169" s="63">
        <v>3605.27</v>
      </c>
      <c r="M169" s="63">
        <v>1.613</v>
      </c>
      <c r="N169" s="42">
        <f t="shared" ref="N169" si="153">L169*M169</f>
        <v>5815.30051</v>
      </c>
      <c r="O169" s="42">
        <f>ROUND(C169*N169,0)</f>
        <v>1221213</v>
      </c>
      <c r="P169" s="42">
        <f t="shared" si="151"/>
        <v>5815.30051</v>
      </c>
      <c r="Q169" s="58"/>
      <c r="R169" s="42">
        <f t="shared" si="152"/>
        <v>1221213</v>
      </c>
      <c r="S169" s="42"/>
      <c r="T169" s="168"/>
    </row>
    <row r="170" spans="1:23" s="60" customFormat="1" hidden="1" x14ac:dyDescent="0.25">
      <c r="A170" s="56"/>
      <c r="B170" s="51" t="s">
        <v>27</v>
      </c>
      <c r="C170" s="58"/>
      <c r="D170" s="58"/>
      <c r="E170" s="58"/>
      <c r="F170" s="42"/>
      <c r="G170" s="58"/>
      <c r="H170" s="42"/>
      <c r="I170" s="58"/>
      <c r="J170" s="42"/>
      <c r="K170" s="42"/>
      <c r="L170" s="42"/>
      <c r="M170" s="42"/>
      <c r="N170" s="42"/>
      <c r="O170" s="42"/>
      <c r="P170" s="42"/>
      <c r="Q170" s="58"/>
      <c r="R170" s="42"/>
      <c r="S170" s="58"/>
      <c r="T170" s="168"/>
      <c r="U170" s="68"/>
      <c r="V170" s="66"/>
      <c r="W170" s="66"/>
    </row>
    <row r="171" spans="1:23" hidden="1" x14ac:dyDescent="0.25">
      <c r="A171" s="61"/>
      <c r="B171" s="51" t="s">
        <v>28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58"/>
      <c r="R171" s="42"/>
      <c r="S171" s="42"/>
      <c r="T171" s="168"/>
    </row>
    <row r="172" spans="1:23" hidden="1" x14ac:dyDescent="0.25">
      <c r="A172" s="61"/>
      <c r="B172" s="51" t="s">
        <v>29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58"/>
      <c r="R172" s="42"/>
      <c r="S172" s="42"/>
      <c r="T172" s="168"/>
    </row>
    <row r="173" spans="1:23" ht="39" hidden="1" x14ac:dyDescent="0.25">
      <c r="A173" s="61" t="s">
        <v>123</v>
      </c>
      <c r="B173" s="51" t="s">
        <v>30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58"/>
      <c r="R173" s="42"/>
      <c r="S173" s="42"/>
      <c r="T173" s="168"/>
    </row>
    <row r="174" spans="1:23" hidden="1" x14ac:dyDescent="0.25">
      <c r="A174" s="61"/>
      <c r="B174" s="51" t="s">
        <v>27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58"/>
      <c r="R174" s="42"/>
      <c r="S174" s="42"/>
      <c r="T174" s="168"/>
    </row>
    <row r="175" spans="1:23" hidden="1" x14ac:dyDescent="0.25">
      <c r="A175" s="61"/>
      <c r="B175" s="51" t="s">
        <v>28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58"/>
      <c r="R175" s="42"/>
      <c r="S175" s="42"/>
      <c r="T175" s="168"/>
    </row>
    <row r="176" spans="1:23" hidden="1" x14ac:dyDescent="0.25">
      <c r="A176" s="61"/>
      <c r="B176" s="51" t="s">
        <v>29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58"/>
      <c r="R176" s="42"/>
      <c r="S176" s="42"/>
      <c r="T176" s="168"/>
    </row>
    <row r="177" spans="1:23" x14ac:dyDescent="0.25">
      <c r="A177" s="85"/>
      <c r="B177" s="86" t="s">
        <v>315</v>
      </c>
      <c r="C177" s="75">
        <f>C160+C163+C164+C168+C162</f>
        <v>210</v>
      </c>
      <c r="D177" s="75"/>
      <c r="E177" s="75">
        <f>E160+E163+E164+E168+E169+E162</f>
        <v>12850000</v>
      </c>
      <c r="F177" s="75"/>
      <c r="G177" s="75">
        <f>G160+G163+G164+G168+G169+G162</f>
        <v>4507160</v>
      </c>
      <c r="H177" s="75"/>
      <c r="I177" s="75"/>
      <c r="J177" s="75"/>
      <c r="K177" s="75">
        <f>K160+K163+K164+K168+K169+K162</f>
        <v>4187627</v>
      </c>
      <c r="L177" s="75"/>
      <c r="M177" s="75"/>
      <c r="N177" s="75"/>
      <c r="O177" s="75">
        <f>O160+O163+O164+O168+O169+O162</f>
        <v>1221213</v>
      </c>
      <c r="P177" s="75"/>
      <c r="Q177" s="75"/>
      <c r="R177" s="75">
        <f>R160+R163+R164+R168+R169+R162</f>
        <v>22766000</v>
      </c>
      <c r="S177" s="75">
        <v>260000</v>
      </c>
      <c r="T177" s="170">
        <f>R177+S177</f>
        <v>23026000</v>
      </c>
      <c r="U177" s="180"/>
      <c r="V177" s="180"/>
    </row>
    <row r="178" spans="1:23" s="60" customFormat="1" x14ac:dyDescent="0.25">
      <c r="A178" s="56">
        <v>11</v>
      </c>
      <c r="B178" s="57" t="s">
        <v>39</v>
      </c>
      <c r="C178" s="58"/>
      <c r="D178" s="58"/>
      <c r="E178" s="58"/>
      <c r="F178" s="42"/>
      <c r="G178" s="58"/>
      <c r="H178" s="58"/>
      <c r="I178" s="58"/>
      <c r="J178" s="42"/>
      <c r="K178" s="58"/>
      <c r="L178" s="42"/>
      <c r="M178" s="58"/>
      <c r="N178" s="58"/>
      <c r="O178" s="58"/>
      <c r="P178" s="42"/>
      <c r="Q178" s="58"/>
      <c r="R178" s="58"/>
      <c r="S178" s="58"/>
      <c r="T178" s="168"/>
      <c r="U178" s="68"/>
      <c r="V178" s="66"/>
      <c r="W178" s="66"/>
    </row>
    <row r="179" spans="1:23" ht="39" x14ac:dyDescent="0.25">
      <c r="A179" s="61" t="s">
        <v>124</v>
      </c>
      <c r="B179" s="51" t="s">
        <v>44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58"/>
      <c r="R179" s="42"/>
      <c r="S179" s="42"/>
      <c r="T179" s="168"/>
    </row>
    <row r="180" spans="1:23" x14ac:dyDescent="0.25">
      <c r="A180" s="61"/>
      <c r="B180" s="51" t="s">
        <v>287</v>
      </c>
      <c r="C180" s="42">
        <v>30</v>
      </c>
      <c r="D180" s="42">
        <v>77562</v>
      </c>
      <c r="E180" s="42">
        <f>C180*D180+76615</f>
        <v>2403475</v>
      </c>
      <c r="F180" s="42">
        <f t="shared" ref="F180:F189" si="154">ROUND(D180*35.3%,0)</f>
        <v>27379</v>
      </c>
      <c r="G180" s="42">
        <f>C180*F180</f>
        <v>821370</v>
      </c>
      <c r="H180" s="62">
        <v>13347.1</v>
      </c>
      <c r="I180" s="63">
        <v>1.21</v>
      </c>
      <c r="J180" s="42">
        <f t="shared" ref="J180" si="155">H180*I180</f>
        <v>16149.991</v>
      </c>
      <c r="K180" s="42">
        <f>ROUND(C180*J180,0)+1658</f>
        <v>486158</v>
      </c>
      <c r="L180" s="42"/>
      <c r="M180" s="42"/>
      <c r="N180" s="42"/>
      <c r="O180" s="42"/>
      <c r="P180" s="42">
        <f t="shared" ref="P180" si="156">D180+F180+J180+N180</f>
        <v>121090.99099999999</v>
      </c>
      <c r="Q180" s="58"/>
      <c r="R180" s="42">
        <f t="shared" ref="R180" si="157">E180+G180+K180+O180</f>
        <v>3711003</v>
      </c>
      <c r="S180" s="42"/>
      <c r="T180" s="168"/>
    </row>
    <row r="181" spans="1:23" x14ac:dyDescent="0.25">
      <c r="A181" s="61"/>
      <c r="B181" s="51" t="s">
        <v>28</v>
      </c>
      <c r="C181" s="42"/>
      <c r="D181" s="42"/>
      <c r="E181" s="42"/>
      <c r="F181" s="42">
        <f t="shared" si="154"/>
        <v>0</v>
      </c>
      <c r="G181" s="42"/>
      <c r="H181" s="62"/>
      <c r="I181" s="63"/>
      <c r="J181" s="42"/>
      <c r="K181" s="42"/>
      <c r="L181" s="42"/>
      <c r="M181" s="42"/>
      <c r="N181" s="42"/>
      <c r="O181" s="42"/>
      <c r="P181" s="42"/>
      <c r="Q181" s="58"/>
      <c r="R181" s="42"/>
      <c r="S181" s="42"/>
      <c r="T181" s="168"/>
    </row>
    <row r="182" spans="1:23" x14ac:dyDescent="0.25">
      <c r="A182" s="61"/>
      <c r="B182" s="51" t="s">
        <v>289</v>
      </c>
      <c r="C182" s="42"/>
      <c r="D182" s="42"/>
      <c r="E182" s="42"/>
      <c r="F182" s="42">
        <f t="shared" si="154"/>
        <v>0</v>
      </c>
      <c r="G182" s="42"/>
      <c r="H182" s="62"/>
      <c r="I182" s="63"/>
      <c r="J182" s="42"/>
      <c r="K182" s="42"/>
      <c r="L182" s="42"/>
      <c r="M182" s="42"/>
      <c r="N182" s="42"/>
      <c r="O182" s="42"/>
      <c r="P182" s="42"/>
      <c r="Q182" s="58"/>
      <c r="R182" s="42"/>
      <c r="S182" s="42"/>
      <c r="T182" s="168"/>
    </row>
    <row r="183" spans="1:23" ht="39" x14ac:dyDescent="0.25">
      <c r="A183" s="61" t="s">
        <v>125</v>
      </c>
      <c r="B183" s="51" t="s">
        <v>45</v>
      </c>
      <c r="C183" s="42"/>
      <c r="D183" s="42"/>
      <c r="E183" s="42"/>
      <c r="F183" s="42">
        <f t="shared" si="154"/>
        <v>0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58"/>
      <c r="R183" s="42"/>
      <c r="S183" s="42"/>
      <c r="T183" s="168"/>
    </row>
    <row r="184" spans="1:23" x14ac:dyDescent="0.25">
      <c r="A184" s="61"/>
      <c r="B184" s="51" t="s">
        <v>287</v>
      </c>
      <c r="C184" s="42"/>
      <c r="D184" s="42"/>
      <c r="E184" s="42"/>
      <c r="F184" s="42">
        <f t="shared" si="154"/>
        <v>0</v>
      </c>
      <c r="G184" s="42"/>
      <c r="H184" s="42"/>
      <c r="I184" s="63"/>
      <c r="J184" s="42"/>
      <c r="K184" s="42"/>
      <c r="L184" s="42"/>
      <c r="M184" s="42"/>
      <c r="N184" s="42"/>
      <c r="O184" s="42"/>
      <c r="P184" s="42"/>
      <c r="Q184" s="58"/>
      <c r="R184" s="42"/>
      <c r="S184" s="42"/>
      <c r="T184" s="168"/>
    </row>
    <row r="185" spans="1:23" x14ac:dyDescent="0.25">
      <c r="A185" s="61"/>
      <c r="B185" s="51" t="s">
        <v>28</v>
      </c>
      <c r="C185" s="42">
        <v>150</v>
      </c>
      <c r="D185" s="42">
        <v>40721</v>
      </c>
      <c r="E185" s="42">
        <f t="shared" ref="E185:E186" si="158">C185*D185</f>
        <v>6108150</v>
      </c>
      <c r="F185" s="42">
        <f t="shared" si="154"/>
        <v>14375</v>
      </c>
      <c r="G185" s="42">
        <f t="shared" ref="G185" si="159">C185*F185</f>
        <v>2156250</v>
      </c>
      <c r="H185" s="62">
        <v>13347.1</v>
      </c>
      <c r="I185" s="63">
        <v>1.21</v>
      </c>
      <c r="J185" s="42">
        <f t="shared" ref="J185" si="160">H185*I185</f>
        <v>16149.991</v>
      </c>
      <c r="K185" s="42">
        <f t="shared" ref="K185" si="161">ROUND(C185*J185,0)</f>
        <v>2422499</v>
      </c>
      <c r="L185" s="42"/>
      <c r="M185" s="42"/>
      <c r="N185" s="42"/>
      <c r="O185" s="42"/>
      <c r="P185" s="42">
        <f t="shared" ref="P185:P186" si="162">D185+F185+J185+N185</f>
        <v>71245.990999999995</v>
      </c>
      <c r="Q185" s="58"/>
      <c r="R185" s="42">
        <f t="shared" ref="R185:R186" si="163">E185+G185+K185+O185</f>
        <v>10686899</v>
      </c>
      <c r="S185" s="42"/>
      <c r="T185" s="168"/>
    </row>
    <row r="186" spans="1:23" x14ac:dyDescent="0.25">
      <c r="A186" s="61"/>
      <c r="B186" s="51" t="s">
        <v>289</v>
      </c>
      <c r="C186" s="42">
        <v>50</v>
      </c>
      <c r="D186" s="42">
        <v>40721</v>
      </c>
      <c r="E186" s="42">
        <f t="shared" si="158"/>
        <v>2036050</v>
      </c>
      <c r="F186" s="42">
        <f t="shared" si="154"/>
        <v>14375</v>
      </c>
      <c r="G186" s="42">
        <f t="shared" ref="G186" si="164">C186*F186</f>
        <v>718750</v>
      </c>
      <c r="H186" s="62">
        <v>13347.1</v>
      </c>
      <c r="I186" s="63">
        <v>1.21</v>
      </c>
      <c r="J186" s="42">
        <f t="shared" ref="J186" si="165">H186*I186</f>
        <v>16149.991</v>
      </c>
      <c r="K186" s="42">
        <f t="shared" ref="K186" si="166">ROUND(C186*J186,0)</f>
        <v>807500</v>
      </c>
      <c r="L186" s="42"/>
      <c r="M186" s="42"/>
      <c r="N186" s="42"/>
      <c r="O186" s="42"/>
      <c r="P186" s="42">
        <f t="shared" si="162"/>
        <v>71245.990999999995</v>
      </c>
      <c r="Q186" s="58"/>
      <c r="R186" s="42">
        <f t="shared" si="163"/>
        <v>3562300</v>
      </c>
      <c r="S186" s="42"/>
      <c r="T186" s="168"/>
    </row>
    <row r="187" spans="1:23" ht="51.75" x14ac:dyDescent="0.25">
      <c r="A187" s="61" t="s">
        <v>126</v>
      </c>
      <c r="B187" s="51" t="s">
        <v>65</v>
      </c>
      <c r="C187" s="42"/>
      <c r="D187" s="42"/>
      <c r="E187" s="42"/>
      <c r="F187" s="42">
        <f t="shared" si="154"/>
        <v>0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58"/>
      <c r="R187" s="42"/>
      <c r="S187" s="42"/>
      <c r="T187" s="168"/>
    </row>
    <row r="188" spans="1:23" hidden="1" x14ac:dyDescent="0.25">
      <c r="A188" s="61"/>
      <c r="B188" s="51" t="s">
        <v>27</v>
      </c>
      <c r="C188" s="42"/>
      <c r="D188" s="42"/>
      <c r="E188" s="42"/>
      <c r="F188" s="42">
        <f t="shared" si="154"/>
        <v>0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58"/>
      <c r="R188" s="42"/>
      <c r="S188" s="42"/>
      <c r="T188" s="168"/>
    </row>
    <row r="189" spans="1:23" x14ac:dyDescent="0.25">
      <c r="A189" s="61"/>
      <c r="B189" s="51" t="s">
        <v>289</v>
      </c>
      <c r="C189" s="42">
        <v>25</v>
      </c>
      <c r="D189" s="42">
        <v>54293</v>
      </c>
      <c r="E189" s="42">
        <f t="shared" ref="E189" si="167">C189*D189</f>
        <v>1357325</v>
      </c>
      <c r="F189" s="42">
        <f t="shared" si="154"/>
        <v>19165</v>
      </c>
      <c r="G189" s="42">
        <f t="shared" ref="G189" si="168">C189*F189</f>
        <v>479125</v>
      </c>
      <c r="H189" s="62">
        <v>13347.1</v>
      </c>
      <c r="I189" s="63">
        <v>1.21</v>
      </c>
      <c r="J189" s="42">
        <f t="shared" ref="J189" si="169">H189*I189</f>
        <v>16149.991</v>
      </c>
      <c r="K189" s="42">
        <f>ROUND(C189*J189,0)+146679</f>
        <v>550429</v>
      </c>
      <c r="L189" s="42"/>
      <c r="M189" s="42"/>
      <c r="N189" s="42"/>
      <c r="O189" s="42"/>
      <c r="P189" s="42">
        <f t="shared" ref="P189" si="170">D189+F189+J189+N189</f>
        <v>89607.990999999995</v>
      </c>
      <c r="Q189" s="58"/>
      <c r="R189" s="42">
        <f t="shared" ref="R189:R191" si="171">E189+G189+K189+O189</f>
        <v>2386879</v>
      </c>
      <c r="S189" s="42"/>
      <c r="T189" s="168"/>
    </row>
    <row r="190" spans="1:23" hidden="1" x14ac:dyDescent="0.25">
      <c r="A190" s="61"/>
      <c r="B190" s="51" t="s">
        <v>29</v>
      </c>
      <c r="C190" s="42"/>
      <c r="D190" s="42"/>
      <c r="E190" s="42"/>
      <c r="F190" s="42">
        <f t="shared" ref="F190" si="172">ROUND(D190*35.5%,0)</f>
        <v>0</v>
      </c>
      <c r="G190" s="42"/>
      <c r="H190" s="62"/>
      <c r="I190" s="42"/>
      <c r="J190" s="42"/>
      <c r="K190" s="42"/>
      <c r="L190" s="42"/>
      <c r="M190" s="42"/>
      <c r="N190" s="42"/>
      <c r="O190" s="42"/>
      <c r="P190" s="42"/>
      <c r="Q190" s="58"/>
      <c r="R190" s="42">
        <f t="shared" si="171"/>
        <v>0</v>
      </c>
      <c r="S190" s="42"/>
      <c r="T190" s="168"/>
    </row>
    <row r="191" spans="1:23" x14ac:dyDescent="0.25">
      <c r="A191" s="61" t="s">
        <v>127</v>
      </c>
      <c r="B191" s="51" t="s">
        <v>13</v>
      </c>
      <c r="C191" s="42">
        <v>255</v>
      </c>
      <c r="D191" s="42"/>
      <c r="E191" s="42"/>
      <c r="F191" s="42"/>
      <c r="G191" s="42"/>
      <c r="H191" s="62"/>
      <c r="I191" s="42"/>
      <c r="J191" s="42"/>
      <c r="K191" s="42"/>
      <c r="L191" s="63">
        <v>3605.27</v>
      </c>
      <c r="M191" s="63">
        <v>1.464</v>
      </c>
      <c r="N191" s="42">
        <f t="shared" ref="N191" si="173">L191*M191</f>
        <v>5278.11528</v>
      </c>
      <c r="O191" s="42">
        <f>ROUND(C191*N191,0)</f>
        <v>1345919</v>
      </c>
      <c r="P191" s="42">
        <f t="shared" ref="P191" si="174">D191+F191+J191+N191</f>
        <v>5278.11528</v>
      </c>
      <c r="Q191" s="58"/>
      <c r="R191" s="42">
        <f t="shared" si="171"/>
        <v>1345919</v>
      </c>
      <c r="S191" s="42"/>
      <c r="T191" s="168"/>
    </row>
    <row r="192" spans="1:23" s="60" customFormat="1" hidden="1" x14ac:dyDescent="0.25">
      <c r="A192" s="56"/>
      <c r="B192" s="51" t="s">
        <v>27</v>
      </c>
      <c r="C192" s="58"/>
      <c r="D192" s="58"/>
      <c r="E192" s="58"/>
      <c r="F192" s="42"/>
      <c r="G192" s="58"/>
      <c r="H192" s="42"/>
      <c r="I192" s="58"/>
      <c r="J192" s="42"/>
      <c r="K192" s="42"/>
      <c r="L192" s="42"/>
      <c r="M192" s="42"/>
      <c r="N192" s="42"/>
      <c r="O192" s="42"/>
      <c r="P192" s="42"/>
      <c r="Q192" s="58"/>
      <c r="R192" s="42"/>
      <c r="S192" s="58"/>
      <c r="T192" s="168"/>
      <c r="U192" s="68"/>
      <c r="V192" s="66"/>
      <c r="W192" s="66"/>
    </row>
    <row r="193" spans="1:23" hidden="1" x14ac:dyDescent="0.25">
      <c r="A193" s="61"/>
      <c r="B193" s="51" t="s">
        <v>28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58"/>
      <c r="R193" s="42"/>
      <c r="S193" s="42"/>
      <c r="T193" s="168"/>
    </row>
    <row r="194" spans="1:23" hidden="1" x14ac:dyDescent="0.25">
      <c r="A194" s="61"/>
      <c r="B194" s="51" t="s">
        <v>29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58"/>
      <c r="R194" s="42"/>
      <c r="S194" s="42"/>
      <c r="T194" s="168"/>
    </row>
    <row r="195" spans="1:23" x14ac:dyDescent="0.25">
      <c r="A195" s="85"/>
      <c r="B195" s="86" t="s">
        <v>315</v>
      </c>
      <c r="C195" s="75">
        <f>C180+C185+C186+C189</f>
        <v>255</v>
      </c>
      <c r="D195" s="75"/>
      <c r="E195" s="75">
        <f>E180+E185+E186+E18+E1932+E189</f>
        <v>11905000</v>
      </c>
      <c r="F195" s="75"/>
      <c r="G195" s="75">
        <f>G180+G185+G186+G18+G1932+G189</f>
        <v>4175495</v>
      </c>
      <c r="H195" s="75"/>
      <c r="I195" s="75"/>
      <c r="J195" s="75"/>
      <c r="K195" s="75">
        <f>K180+K185+K186+K18+K1932+K189</f>
        <v>4266586</v>
      </c>
      <c r="L195" s="75"/>
      <c r="M195" s="75"/>
      <c r="N195" s="75"/>
      <c r="O195" s="75">
        <f>O180+O185+O186+O18+O1932+O191</f>
        <v>1345919</v>
      </c>
      <c r="P195" s="75"/>
      <c r="Q195" s="75"/>
      <c r="R195" s="75">
        <f>R180+R185+R186+R18+R1932+R189+R191</f>
        <v>21693000</v>
      </c>
      <c r="S195" s="75">
        <v>236000</v>
      </c>
      <c r="T195" s="170">
        <f>R195+S195</f>
        <v>21929000</v>
      </c>
      <c r="U195" s="180"/>
      <c r="V195" s="180"/>
    </row>
    <row r="196" spans="1:23" s="60" customFormat="1" x14ac:dyDescent="0.25">
      <c r="A196" s="56">
        <v>12</v>
      </c>
      <c r="B196" s="57" t="s">
        <v>40</v>
      </c>
      <c r="C196" s="58"/>
      <c r="D196" s="58"/>
      <c r="E196" s="58"/>
      <c r="F196" s="42"/>
      <c r="G196" s="58"/>
      <c r="H196" s="58"/>
      <c r="I196" s="58"/>
      <c r="J196" s="42"/>
      <c r="K196" s="58"/>
      <c r="L196" s="58"/>
      <c r="M196" s="58"/>
      <c r="N196" s="58"/>
      <c r="O196" s="58"/>
      <c r="P196" s="42"/>
      <c r="Q196" s="58"/>
      <c r="R196" s="58"/>
      <c r="S196" s="58"/>
      <c r="T196" s="168"/>
      <c r="U196" s="68"/>
      <c r="V196" s="66"/>
      <c r="W196" s="66"/>
    </row>
    <row r="197" spans="1:23" ht="39" x14ac:dyDescent="0.25">
      <c r="A197" s="61" t="s">
        <v>128</v>
      </c>
      <c r="B197" s="51" t="s">
        <v>44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58"/>
      <c r="R197" s="42"/>
      <c r="S197" s="42"/>
      <c r="T197" s="168"/>
    </row>
    <row r="198" spans="1:23" x14ac:dyDescent="0.25">
      <c r="A198" s="61"/>
      <c r="B198" s="51" t="s">
        <v>287</v>
      </c>
      <c r="C198" s="42">
        <v>14</v>
      </c>
      <c r="D198" s="42">
        <v>77562</v>
      </c>
      <c r="E198" s="42">
        <f>C198*D198+90370</f>
        <v>1176238</v>
      </c>
      <c r="F198" s="42">
        <f t="shared" ref="F198:F211" si="175">ROUND(D198*35.3%,0)</f>
        <v>27379</v>
      </c>
      <c r="G198" s="42">
        <f t="shared" ref="G198" si="176">C198*F198</f>
        <v>383306</v>
      </c>
      <c r="H198" s="62">
        <v>13347.1</v>
      </c>
      <c r="I198" s="63">
        <v>1.36</v>
      </c>
      <c r="J198" s="42">
        <f t="shared" ref="J198" si="177">H198*I198</f>
        <v>18152.056</v>
      </c>
      <c r="K198" s="42">
        <f>ROUND(C198*J198,0)</f>
        <v>254129</v>
      </c>
      <c r="L198" s="42"/>
      <c r="M198" s="42"/>
      <c r="N198" s="42"/>
      <c r="O198" s="42"/>
      <c r="P198" s="42">
        <f t="shared" ref="P198:P204" si="178">D198+F198+J198+N198</f>
        <v>123093.056</v>
      </c>
      <c r="Q198" s="58"/>
      <c r="R198" s="42">
        <f t="shared" ref="R198:R204" si="179">E198+G198+K198+O198</f>
        <v>1813673</v>
      </c>
      <c r="S198" s="42"/>
      <c r="T198" s="168"/>
    </row>
    <row r="199" spans="1:23" x14ac:dyDescent="0.25">
      <c r="A199" s="61"/>
      <c r="B199" s="51" t="s">
        <v>28</v>
      </c>
      <c r="C199" s="42"/>
      <c r="D199" s="42"/>
      <c r="E199" s="42"/>
      <c r="F199" s="42">
        <f t="shared" si="175"/>
        <v>0</v>
      </c>
      <c r="G199" s="42"/>
      <c r="H199" s="62"/>
      <c r="I199" s="63"/>
      <c r="J199" s="42"/>
      <c r="K199" s="42"/>
      <c r="L199" s="42"/>
      <c r="M199" s="42"/>
      <c r="N199" s="42"/>
      <c r="O199" s="42"/>
      <c r="P199" s="42"/>
      <c r="Q199" s="58"/>
      <c r="R199" s="42"/>
      <c r="S199" s="42"/>
      <c r="T199" s="168"/>
    </row>
    <row r="200" spans="1:23" x14ac:dyDescent="0.25">
      <c r="A200" s="61"/>
      <c r="B200" s="51" t="s">
        <v>289</v>
      </c>
      <c r="C200" s="42"/>
      <c r="D200" s="42"/>
      <c r="E200" s="42">
        <f>C200*D200</f>
        <v>0</v>
      </c>
      <c r="F200" s="42">
        <f t="shared" si="175"/>
        <v>0</v>
      </c>
      <c r="G200" s="42">
        <f>C200*F200</f>
        <v>0</v>
      </c>
      <c r="H200" s="62"/>
      <c r="I200" s="63"/>
      <c r="J200" s="42">
        <f t="shared" ref="J200" si="180">H200*I200</f>
        <v>0</v>
      </c>
      <c r="K200" s="42">
        <f>ROUND(C200*J200,0)</f>
        <v>0</v>
      </c>
      <c r="L200" s="42"/>
      <c r="M200" s="42"/>
      <c r="N200" s="42"/>
      <c r="O200" s="42"/>
      <c r="P200" s="42">
        <f t="shared" si="178"/>
        <v>0</v>
      </c>
      <c r="Q200" s="58"/>
      <c r="R200" s="42">
        <f t="shared" si="179"/>
        <v>0</v>
      </c>
      <c r="S200" s="42"/>
      <c r="T200" s="168"/>
    </row>
    <row r="201" spans="1:23" ht="39" x14ac:dyDescent="0.25">
      <c r="A201" s="61" t="s">
        <v>129</v>
      </c>
      <c r="B201" s="51" t="s">
        <v>45</v>
      </c>
      <c r="C201" s="42"/>
      <c r="D201" s="42"/>
      <c r="E201" s="42"/>
      <c r="F201" s="42"/>
      <c r="G201" s="42"/>
      <c r="H201" s="62"/>
      <c r="I201" s="42"/>
      <c r="J201" s="42"/>
      <c r="K201" s="42">
        <f t="shared" ref="K201:K210" si="181">ROUND(C201*J201,0)</f>
        <v>0</v>
      </c>
      <c r="L201" s="42"/>
      <c r="M201" s="42"/>
      <c r="N201" s="42"/>
      <c r="O201" s="42"/>
      <c r="P201" s="42"/>
      <c r="Q201" s="58"/>
      <c r="R201" s="42"/>
      <c r="S201" s="42"/>
      <c r="T201" s="168"/>
    </row>
    <row r="202" spans="1:23" x14ac:dyDescent="0.25">
      <c r="A202" s="61"/>
      <c r="B202" s="51" t="s">
        <v>287</v>
      </c>
      <c r="C202" s="42">
        <v>15</v>
      </c>
      <c r="D202" s="42">
        <v>67868</v>
      </c>
      <c r="E202" s="42">
        <f t="shared" ref="E202:E208" si="182">C202*D202</f>
        <v>1018020</v>
      </c>
      <c r="F202" s="42">
        <f t="shared" si="175"/>
        <v>23957</v>
      </c>
      <c r="G202" s="42">
        <f t="shared" ref="G202" si="183">C202*F202</f>
        <v>359355</v>
      </c>
      <c r="H202" s="62">
        <v>13347.1</v>
      </c>
      <c r="I202" s="63">
        <v>1.36</v>
      </c>
      <c r="J202" s="42">
        <f t="shared" ref="J202" si="184">H202*I202</f>
        <v>18152.056</v>
      </c>
      <c r="K202" s="42">
        <f t="shared" si="181"/>
        <v>272281</v>
      </c>
      <c r="L202" s="42"/>
      <c r="M202" s="42"/>
      <c r="N202" s="42"/>
      <c r="O202" s="42"/>
      <c r="P202" s="42">
        <f t="shared" si="178"/>
        <v>109977.056</v>
      </c>
      <c r="Q202" s="58"/>
      <c r="R202" s="42">
        <f t="shared" si="179"/>
        <v>1649656</v>
      </c>
      <c r="S202" s="42"/>
      <c r="T202" s="168"/>
    </row>
    <row r="203" spans="1:23" x14ac:dyDescent="0.25">
      <c r="A203" s="61"/>
      <c r="B203" s="51" t="s">
        <v>28</v>
      </c>
      <c r="C203" s="42">
        <v>150</v>
      </c>
      <c r="D203" s="42">
        <v>40721</v>
      </c>
      <c r="E203" s="42">
        <f t="shared" si="182"/>
        <v>6108150</v>
      </c>
      <c r="F203" s="42">
        <f t="shared" si="175"/>
        <v>14375</v>
      </c>
      <c r="G203" s="42">
        <f t="shared" ref="G203:G204" si="185">C203*F203</f>
        <v>2156250</v>
      </c>
      <c r="H203" s="62">
        <v>13347.1</v>
      </c>
      <c r="I203" s="63">
        <v>1.36</v>
      </c>
      <c r="J203" s="42">
        <f t="shared" ref="J203:J204" si="186">H203*I203</f>
        <v>18152.056</v>
      </c>
      <c r="K203" s="42">
        <f t="shared" si="181"/>
        <v>2722808</v>
      </c>
      <c r="L203" s="42"/>
      <c r="M203" s="42"/>
      <c r="N203" s="42"/>
      <c r="O203" s="42"/>
      <c r="P203" s="42">
        <f t="shared" si="178"/>
        <v>73248.055999999997</v>
      </c>
      <c r="Q203" s="58"/>
      <c r="R203" s="42">
        <f t="shared" si="179"/>
        <v>10987208</v>
      </c>
      <c r="S203" s="42"/>
      <c r="T203" s="168"/>
    </row>
    <row r="204" spans="1:23" x14ac:dyDescent="0.25">
      <c r="A204" s="61"/>
      <c r="B204" s="51" t="s">
        <v>289</v>
      </c>
      <c r="C204" s="42">
        <v>72</v>
      </c>
      <c r="D204" s="42">
        <v>40721</v>
      </c>
      <c r="E204" s="42">
        <f t="shared" si="182"/>
        <v>2931912</v>
      </c>
      <c r="F204" s="42">
        <f t="shared" si="175"/>
        <v>14375</v>
      </c>
      <c r="G204" s="42">
        <f t="shared" si="185"/>
        <v>1035000</v>
      </c>
      <c r="H204" s="62">
        <v>13347.1</v>
      </c>
      <c r="I204" s="63">
        <v>1.36</v>
      </c>
      <c r="J204" s="42">
        <f t="shared" si="186"/>
        <v>18152.056</v>
      </c>
      <c r="K204" s="42">
        <f t="shared" si="181"/>
        <v>1306948</v>
      </c>
      <c r="L204" s="42"/>
      <c r="M204" s="42"/>
      <c r="N204" s="42"/>
      <c r="O204" s="42"/>
      <c r="P204" s="42">
        <f t="shared" si="178"/>
        <v>73248.055999999997</v>
      </c>
      <c r="Q204" s="58"/>
      <c r="R204" s="42">
        <f t="shared" si="179"/>
        <v>5273860</v>
      </c>
      <c r="S204" s="42"/>
      <c r="T204" s="168"/>
    </row>
    <row r="205" spans="1:23" ht="51.75" hidden="1" x14ac:dyDescent="0.25">
      <c r="A205" s="61" t="s">
        <v>130</v>
      </c>
      <c r="B205" s="51" t="s">
        <v>67</v>
      </c>
      <c r="C205" s="42"/>
      <c r="D205" s="42"/>
      <c r="E205" s="42">
        <f t="shared" si="182"/>
        <v>0</v>
      </c>
      <c r="F205" s="42">
        <f t="shared" si="175"/>
        <v>0</v>
      </c>
      <c r="G205" s="42"/>
      <c r="H205" s="62">
        <v>13347.1</v>
      </c>
      <c r="I205" s="63">
        <v>1.365</v>
      </c>
      <c r="J205" s="42"/>
      <c r="K205" s="42">
        <f t="shared" si="181"/>
        <v>0</v>
      </c>
      <c r="L205" s="42"/>
      <c r="M205" s="42"/>
      <c r="N205" s="42"/>
      <c r="O205" s="42"/>
      <c r="P205" s="42"/>
      <c r="Q205" s="58"/>
      <c r="R205" s="42"/>
      <c r="S205" s="42"/>
      <c r="T205" s="168"/>
    </row>
    <row r="206" spans="1:23" hidden="1" x14ac:dyDescent="0.25">
      <c r="A206" s="61"/>
      <c r="B206" s="51" t="s">
        <v>27</v>
      </c>
      <c r="C206" s="42"/>
      <c r="D206" s="42"/>
      <c r="E206" s="42">
        <f t="shared" si="182"/>
        <v>0</v>
      </c>
      <c r="F206" s="42">
        <f t="shared" si="175"/>
        <v>0</v>
      </c>
      <c r="G206" s="42"/>
      <c r="H206" s="62">
        <v>13347.1</v>
      </c>
      <c r="I206" s="63">
        <v>1.365</v>
      </c>
      <c r="J206" s="42"/>
      <c r="K206" s="42">
        <f t="shared" si="181"/>
        <v>0</v>
      </c>
      <c r="L206" s="42"/>
      <c r="M206" s="42"/>
      <c r="N206" s="42"/>
      <c r="O206" s="42"/>
      <c r="P206" s="42"/>
      <c r="Q206" s="58"/>
      <c r="R206" s="42"/>
      <c r="S206" s="42"/>
      <c r="T206" s="168"/>
    </row>
    <row r="207" spans="1:23" hidden="1" x14ac:dyDescent="0.25">
      <c r="A207" s="61"/>
      <c r="B207" s="51" t="s">
        <v>28</v>
      </c>
      <c r="C207" s="42"/>
      <c r="D207" s="42"/>
      <c r="E207" s="42">
        <f t="shared" si="182"/>
        <v>0</v>
      </c>
      <c r="F207" s="42">
        <f t="shared" si="175"/>
        <v>0</v>
      </c>
      <c r="G207" s="42"/>
      <c r="H207" s="62">
        <v>13347.1</v>
      </c>
      <c r="I207" s="63">
        <v>1.365</v>
      </c>
      <c r="J207" s="42"/>
      <c r="K207" s="42">
        <f t="shared" si="181"/>
        <v>0</v>
      </c>
      <c r="L207" s="42"/>
      <c r="M207" s="42"/>
      <c r="N207" s="42"/>
      <c r="O207" s="42"/>
      <c r="P207" s="42"/>
      <c r="Q207" s="58"/>
      <c r="R207" s="42"/>
      <c r="S207" s="42"/>
      <c r="T207" s="168"/>
    </row>
    <row r="208" spans="1:23" hidden="1" x14ac:dyDescent="0.25">
      <c r="A208" s="61"/>
      <c r="B208" s="51" t="s">
        <v>29</v>
      </c>
      <c r="C208" s="42"/>
      <c r="D208" s="42"/>
      <c r="E208" s="42">
        <f t="shared" si="182"/>
        <v>0</v>
      </c>
      <c r="F208" s="42">
        <f t="shared" si="175"/>
        <v>0</v>
      </c>
      <c r="G208" s="42"/>
      <c r="H208" s="62">
        <v>13347.1</v>
      </c>
      <c r="I208" s="63">
        <v>1.365</v>
      </c>
      <c r="J208" s="42"/>
      <c r="K208" s="42">
        <f t="shared" si="181"/>
        <v>0</v>
      </c>
      <c r="L208" s="42"/>
      <c r="M208" s="42"/>
      <c r="N208" s="42"/>
      <c r="O208" s="42"/>
      <c r="P208" s="42"/>
      <c r="Q208" s="58"/>
      <c r="R208" s="42"/>
      <c r="S208" s="42"/>
      <c r="T208" s="168"/>
    </row>
    <row r="209" spans="1:23" ht="39" x14ac:dyDescent="0.25">
      <c r="A209" s="61" t="s">
        <v>131</v>
      </c>
      <c r="B209" s="51" t="s">
        <v>319</v>
      </c>
      <c r="C209" s="42"/>
      <c r="D209" s="42"/>
      <c r="E209" s="42"/>
      <c r="F209" s="42">
        <f t="shared" si="175"/>
        <v>0</v>
      </c>
      <c r="G209" s="42"/>
      <c r="H209" s="62"/>
      <c r="I209" s="42"/>
      <c r="J209" s="42"/>
      <c r="K209" s="42">
        <f t="shared" si="181"/>
        <v>0</v>
      </c>
      <c r="L209" s="42"/>
      <c r="M209" s="42"/>
      <c r="N209" s="42"/>
      <c r="O209" s="42"/>
      <c r="P209" s="42"/>
      <c r="Q209" s="58"/>
      <c r="R209" s="42"/>
      <c r="S209" s="42"/>
      <c r="T209" s="168"/>
    </row>
    <row r="210" spans="1:23" hidden="1" x14ac:dyDescent="0.25">
      <c r="A210" s="61"/>
      <c r="B210" s="51" t="s">
        <v>27</v>
      </c>
      <c r="C210" s="42"/>
      <c r="D210" s="42"/>
      <c r="E210" s="42"/>
      <c r="F210" s="42">
        <f t="shared" si="175"/>
        <v>0</v>
      </c>
      <c r="G210" s="42"/>
      <c r="H210" s="62">
        <v>13347.1</v>
      </c>
      <c r="I210" s="42"/>
      <c r="J210" s="42"/>
      <c r="K210" s="42">
        <f t="shared" si="181"/>
        <v>0</v>
      </c>
      <c r="L210" s="42"/>
      <c r="M210" s="42"/>
      <c r="N210" s="42"/>
      <c r="O210" s="42"/>
      <c r="P210" s="42"/>
      <c r="Q210" s="58"/>
      <c r="R210" s="42"/>
      <c r="S210" s="42"/>
      <c r="T210" s="168"/>
    </row>
    <row r="211" spans="1:23" x14ac:dyDescent="0.25">
      <c r="A211" s="61"/>
      <c r="B211" s="51" t="s">
        <v>289</v>
      </c>
      <c r="C211" s="42">
        <v>20</v>
      </c>
      <c r="D211" s="42">
        <v>144434</v>
      </c>
      <c r="E211" s="42">
        <f t="shared" ref="E211" si="187">C211*D211</f>
        <v>2888680</v>
      </c>
      <c r="F211" s="42">
        <f t="shared" si="175"/>
        <v>50985</v>
      </c>
      <c r="G211" s="42">
        <f t="shared" ref="G211" si="188">C211*F211</f>
        <v>1019700</v>
      </c>
      <c r="H211" s="62">
        <v>13347.1</v>
      </c>
      <c r="I211" s="63">
        <v>1.36</v>
      </c>
      <c r="J211" s="42">
        <f t="shared" ref="J211" si="189">H211*I211</f>
        <v>18152.056</v>
      </c>
      <c r="K211" s="42">
        <f>ROUND(C211*J211,0)+138215</f>
        <v>501256</v>
      </c>
      <c r="L211" s="42"/>
      <c r="M211" s="42"/>
      <c r="N211" s="42"/>
      <c r="O211" s="42"/>
      <c r="P211" s="42">
        <f t="shared" ref="P211" si="190">D211+F211+J211+N211</f>
        <v>213571.05600000001</v>
      </c>
      <c r="Q211" s="58"/>
      <c r="R211" s="42">
        <f t="shared" ref="R211" si="191">E211+G211+K211+O211</f>
        <v>4409636</v>
      </c>
      <c r="S211" s="42"/>
      <c r="T211" s="168"/>
    </row>
    <row r="212" spans="1:23" ht="39" x14ac:dyDescent="0.25">
      <c r="A212" s="61"/>
      <c r="B212" s="51" t="s">
        <v>294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58"/>
      <c r="R212" s="42"/>
      <c r="S212" s="42"/>
      <c r="T212" s="168"/>
    </row>
    <row r="213" spans="1:23" s="60" customFormat="1" hidden="1" x14ac:dyDescent="0.25">
      <c r="A213" s="56"/>
      <c r="B213" s="51" t="s">
        <v>27</v>
      </c>
      <c r="C213" s="58"/>
      <c r="D213" s="58"/>
      <c r="E213" s="58"/>
      <c r="F213" s="42"/>
      <c r="G213" s="58"/>
      <c r="H213" s="42"/>
      <c r="I213" s="58"/>
      <c r="J213" s="42"/>
      <c r="K213" s="42"/>
      <c r="L213" s="42"/>
      <c r="M213" s="42"/>
      <c r="N213" s="42"/>
      <c r="O213" s="42"/>
      <c r="P213" s="42"/>
      <c r="Q213" s="58"/>
      <c r="R213" s="42"/>
      <c r="S213" s="58"/>
      <c r="T213" s="168"/>
      <c r="U213" s="68"/>
      <c r="V213" s="66"/>
      <c r="W213" s="66"/>
    </row>
    <row r="214" spans="1:23" x14ac:dyDescent="0.25">
      <c r="A214" s="61"/>
      <c r="B214" s="51" t="s">
        <v>28</v>
      </c>
      <c r="C214" s="42"/>
      <c r="D214" s="42"/>
      <c r="E214" s="42"/>
      <c r="F214" s="42"/>
      <c r="G214" s="42"/>
      <c r="H214" s="42"/>
      <c r="I214" s="63"/>
      <c r="J214" s="42"/>
      <c r="K214" s="42"/>
      <c r="L214" s="42"/>
      <c r="M214" s="42"/>
      <c r="N214" s="42"/>
      <c r="O214" s="42"/>
      <c r="P214" s="42"/>
      <c r="Q214" s="58"/>
      <c r="R214" s="42"/>
      <c r="S214" s="42"/>
      <c r="T214" s="168"/>
    </row>
    <row r="215" spans="1:23" hidden="1" x14ac:dyDescent="0.25">
      <c r="A215" s="61"/>
      <c r="B215" s="51" t="s">
        <v>29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58"/>
      <c r="R215" s="42"/>
      <c r="S215" s="42"/>
      <c r="T215" s="168"/>
    </row>
    <row r="216" spans="1:23" x14ac:dyDescent="0.25">
      <c r="A216" s="61" t="s">
        <v>132</v>
      </c>
      <c r="B216" s="51" t="s">
        <v>13</v>
      </c>
      <c r="C216" s="42">
        <v>271</v>
      </c>
      <c r="D216" s="42"/>
      <c r="E216" s="42"/>
      <c r="F216" s="42"/>
      <c r="G216" s="42"/>
      <c r="H216" s="42"/>
      <c r="I216" s="42"/>
      <c r="J216" s="42"/>
      <c r="K216" s="42"/>
      <c r="L216" s="63">
        <v>3605.27</v>
      </c>
      <c r="M216" s="63">
        <v>1.4379999999999999</v>
      </c>
      <c r="N216" s="42">
        <f t="shared" ref="N216" si="192">L216*M216</f>
        <v>5184.3782599999995</v>
      </c>
      <c r="O216" s="42">
        <f>ROUND(C216*N216,0)</f>
        <v>1404967</v>
      </c>
      <c r="P216" s="42">
        <f t="shared" ref="P216" si="193">D216+F216+J216+N216</f>
        <v>5184.3782599999995</v>
      </c>
      <c r="Q216" s="58"/>
      <c r="R216" s="42">
        <f t="shared" ref="R216" si="194">E216+G216+K216+O216</f>
        <v>1404967</v>
      </c>
      <c r="S216" s="42"/>
      <c r="T216" s="168"/>
    </row>
    <row r="217" spans="1:23" ht="39" hidden="1" x14ac:dyDescent="0.25">
      <c r="A217" s="61"/>
      <c r="B217" s="51" t="s">
        <v>294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58"/>
      <c r="R217" s="42"/>
      <c r="S217" s="42"/>
      <c r="T217" s="168"/>
    </row>
    <row r="218" spans="1:23" s="60" customFormat="1" hidden="1" x14ac:dyDescent="0.25">
      <c r="A218" s="56"/>
      <c r="B218" s="51" t="s">
        <v>27</v>
      </c>
      <c r="C218" s="58"/>
      <c r="D218" s="58"/>
      <c r="E218" s="58"/>
      <c r="F218" s="42"/>
      <c r="G218" s="58"/>
      <c r="H218" s="42"/>
      <c r="I218" s="58"/>
      <c r="J218" s="42"/>
      <c r="K218" s="42"/>
      <c r="L218" s="42"/>
      <c r="M218" s="42"/>
      <c r="N218" s="42"/>
      <c r="O218" s="42"/>
      <c r="P218" s="42"/>
      <c r="Q218" s="58"/>
      <c r="R218" s="42"/>
      <c r="S218" s="58"/>
      <c r="T218" s="168"/>
      <c r="U218" s="68"/>
      <c r="V218" s="66"/>
      <c r="W218" s="66"/>
    </row>
    <row r="219" spans="1:23" hidden="1" x14ac:dyDescent="0.25">
      <c r="A219" s="61"/>
      <c r="B219" s="51" t="s">
        <v>28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58"/>
      <c r="R219" s="42"/>
      <c r="S219" s="42"/>
      <c r="T219" s="168"/>
    </row>
    <row r="220" spans="1:23" hidden="1" x14ac:dyDescent="0.25">
      <c r="A220" s="61"/>
      <c r="B220" s="51" t="s">
        <v>29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58"/>
      <c r="R220" s="42"/>
      <c r="S220" s="42"/>
      <c r="T220" s="168"/>
    </row>
    <row r="221" spans="1:23" x14ac:dyDescent="0.25">
      <c r="A221" s="85"/>
      <c r="B221" s="86" t="s">
        <v>315</v>
      </c>
      <c r="C221" s="75">
        <f>C200+C202+C203+C204+C211+C198</f>
        <v>271</v>
      </c>
      <c r="D221" s="75"/>
      <c r="E221" s="75">
        <f>E200+E202+E203+E204+E211+E216+E198</f>
        <v>14123000</v>
      </c>
      <c r="F221" s="75"/>
      <c r="G221" s="75">
        <f>G200+G202+G203+G204+G211+G216+G198</f>
        <v>4953611</v>
      </c>
      <c r="H221" s="75"/>
      <c r="I221" s="75"/>
      <c r="J221" s="75"/>
      <c r="K221" s="75">
        <f>K200+K202+K203+K204+K211+K216+K198</f>
        <v>5057422</v>
      </c>
      <c r="L221" s="75"/>
      <c r="M221" s="75"/>
      <c r="N221" s="75"/>
      <c r="O221" s="75">
        <f>O200+O202+O203+O204+O211+O216</f>
        <v>1404967</v>
      </c>
      <c r="P221" s="75"/>
      <c r="Q221" s="75"/>
      <c r="R221" s="75">
        <f>R200+R202+R203+R204+R211+R216+R198</f>
        <v>25539000</v>
      </c>
      <c r="S221" s="75">
        <v>296000</v>
      </c>
      <c r="T221" s="170">
        <f>R221+S221</f>
        <v>25835000</v>
      </c>
      <c r="U221" s="180"/>
      <c r="V221" s="180"/>
    </row>
    <row r="222" spans="1:23" s="60" customFormat="1" x14ac:dyDescent="0.25">
      <c r="A222" s="56">
        <v>13</v>
      </c>
      <c r="B222" s="57" t="s">
        <v>41</v>
      </c>
      <c r="C222" s="58"/>
      <c r="D222" s="58"/>
      <c r="E222" s="58"/>
      <c r="F222" s="58"/>
      <c r="G222" s="58"/>
      <c r="H222" s="58"/>
      <c r="I222" s="58"/>
      <c r="J222" s="42"/>
      <c r="K222" s="58"/>
      <c r="L222" s="58"/>
      <c r="M222" s="58"/>
      <c r="N222" s="58"/>
      <c r="O222" s="58"/>
      <c r="P222" s="42"/>
      <c r="Q222" s="58"/>
      <c r="R222" s="58"/>
      <c r="S222" s="58"/>
      <c r="T222" s="168"/>
      <c r="U222" s="68"/>
      <c r="V222" s="66"/>
      <c r="W222" s="66"/>
    </row>
    <row r="223" spans="1:23" ht="39" x14ac:dyDescent="0.25">
      <c r="A223" s="61" t="s">
        <v>133</v>
      </c>
      <c r="B223" s="51" t="s">
        <v>44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58"/>
      <c r="R223" s="42"/>
      <c r="S223" s="42"/>
      <c r="T223" s="168"/>
    </row>
    <row r="224" spans="1:23" x14ac:dyDescent="0.25">
      <c r="A224" s="61"/>
      <c r="B224" s="51" t="s">
        <v>287</v>
      </c>
      <c r="C224" s="42">
        <v>45</v>
      </c>
      <c r="D224" s="42">
        <v>77562</v>
      </c>
      <c r="E224" s="42">
        <f>C224*D224+423442</f>
        <v>3913732</v>
      </c>
      <c r="F224" s="42">
        <f t="shared" ref="F224:F238" si="195">ROUND(D224*35.3%,0)</f>
        <v>27379</v>
      </c>
      <c r="G224" s="42">
        <f>C224*F224</f>
        <v>1232055</v>
      </c>
      <c r="H224" s="62">
        <v>13347.1</v>
      </c>
      <c r="I224" s="63">
        <v>1.25</v>
      </c>
      <c r="J224" s="42">
        <f t="shared" ref="J224" si="196">H224*I224</f>
        <v>16683.875</v>
      </c>
      <c r="K224" s="42">
        <f>ROUND(C224*J224,0)+1398</f>
        <v>752172</v>
      </c>
      <c r="L224" s="42"/>
      <c r="M224" s="42"/>
      <c r="N224" s="42"/>
      <c r="O224" s="42"/>
      <c r="P224" s="42">
        <f t="shared" ref="P224:P239" si="197">D224+F224+J224+N224</f>
        <v>121624.875</v>
      </c>
      <c r="Q224" s="58"/>
      <c r="R224" s="42">
        <f t="shared" ref="R224:R239" si="198">E224+G224+K224+O224</f>
        <v>5897959</v>
      </c>
      <c r="S224" s="42"/>
      <c r="T224" s="168"/>
    </row>
    <row r="225" spans="1:23" x14ac:dyDescent="0.25">
      <c r="A225" s="61"/>
      <c r="B225" s="51" t="s">
        <v>28</v>
      </c>
      <c r="C225" s="42">
        <v>10</v>
      </c>
      <c r="D225" s="42">
        <v>46539</v>
      </c>
      <c r="E225" s="42">
        <f t="shared" ref="E225:E238" si="199">C225*D225</f>
        <v>465390</v>
      </c>
      <c r="F225" s="42">
        <f t="shared" si="195"/>
        <v>16428</v>
      </c>
      <c r="G225" s="42">
        <f t="shared" ref="G225:G226" si="200">C225*F225</f>
        <v>164280</v>
      </c>
      <c r="H225" s="62">
        <v>13347.1</v>
      </c>
      <c r="I225" s="63">
        <v>1.25</v>
      </c>
      <c r="J225" s="42">
        <f t="shared" ref="J225:J226" si="201">H225*I225</f>
        <v>16683.875</v>
      </c>
      <c r="K225" s="42">
        <f t="shared" ref="K225:K226" si="202">ROUND(C225*J225,0)</f>
        <v>166839</v>
      </c>
      <c r="L225" s="42"/>
      <c r="M225" s="42"/>
      <c r="N225" s="42"/>
      <c r="O225" s="42"/>
      <c r="P225" s="42">
        <f t="shared" si="197"/>
        <v>79650.875</v>
      </c>
      <c r="Q225" s="58"/>
      <c r="R225" s="42">
        <f t="shared" si="198"/>
        <v>796509</v>
      </c>
      <c r="S225" s="42"/>
      <c r="T225" s="168"/>
    </row>
    <row r="226" spans="1:23" x14ac:dyDescent="0.25">
      <c r="A226" s="61"/>
      <c r="B226" s="51" t="s">
        <v>289</v>
      </c>
      <c r="C226" s="42">
        <v>15</v>
      </c>
      <c r="D226" s="42">
        <v>46539</v>
      </c>
      <c r="E226" s="42">
        <f t="shared" si="199"/>
        <v>698085</v>
      </c>
      <c r="F226" s="42">
        <f t="shared" si="195"/>
        <v>16428</v>
      </c>
      <c r="G226" s="42">
        <f t="shared" si="200"/>
        <v>246420</v>
      </c>
      <c r="H226" s="62">
        <v>13347.1</v>
      </c>
      <c r="I226" s="63">
        <v>1.25</v>
      </c>
      <c r="J226" s="42">
        <f t="shared" si="201"/>
        <v>16683.875</v>
      </c>
      <c r="K226" s="42">
        <f t="shared" si="202"/>
        <v>250258</v>
      </c>
      <c r="L226" s="42"/>
      <c r="M226" s="42"/>
      <c r="N226" s="42"/>
      <c r="O226" s="42"/>
      <c r="P226" s="42">
        <f t="shared" si="197"/>
        <v>79650.875</v>
      </c>
      <c r="Q226" s="58"/>
      <c r="R226" s="42">
        <f t="shared" si="198"/>
        <v>1194763</v>
      </c>
      <c r="S226" s="42"/>
      <c r="T226" s="168"/>
    </row>
    <row r="227" spans="1:23" ht="39" x14ac:dyDescent="0.25">
      <c r="A227" s="61" t="s">
        <v>134</v>
      </c>
      <c r="B227" s="51" t="s">
        <v>45</v>
      </c>
      <c r="C227" s="42"/>
      <c r="D227" s="42"/>
      <c r="E227" s="42"/>
      <c r="F227" s="42">
        <f t="shared" si="195"/>
        <v>0</v>
      </c>
      <c r="G227" s="42"/>
      <c r="H227" s="62"/>
      <c r="I227" s="42"/>
      <c r="J227" s="42"/>
      <c r="K227" s="42"/>
      <c r="L227" s="42"/>
      <c r="M227" s="42"/>
      <c r="N227" s="42"/>
      <c r="O227" s="42"/>
      <c r="P227" s="42"/>
      <c r="Q227" s="58"/>
      <c r="R227" s="42"/>
      <c r="S227" s="42"/>
      <c r="T227" s="168"/>
    </row>
    <row r="228" spans="1:23" x14ac:dyDescent="0.25">
      <c r="A228" s="61"/>
      <c r="B228" s="51" t="s">
        <v>287</v>
      </c>
      <c r="C228" s="42">
        <v>30</v>
      </c>
      <c r="D228" s="42">
        <v>67868</v>
      </c>
      <c r="E228" s="42">
        <f t="shared" si="199"/>
        <v>2036040</v>
      </c>
      <c r="F228" s="42">
        <f t="shared" si="195"/>
        <v>23957</v>
      </c>
      <c r="G228" s="42">
        <f t="shared" ref="G228" si="203">C228*F228</f>
        <v>718710</v>
      </c>
      <c r="H228" s="62">
        <v>13347.1</v>
      </c>
      <c r="I228" s="63">
        <v>1.25</v>
      </c>
      <c r="J228" s="42">
        <f t="shared" ref="J228" si="204">H228*I228</f>
        <v>16683.875</v>
      </c>
      <c r="K228" s="42">
        <f t="shared" ref="K228" si="205">ROUND(C228*J228,0)</f>
        <v>500516</v>
      </c>
      <c r="L228" s="42"/>
      <c r="M228" s="42"/>
      <c r="N228" s="42"/>
      <c r="O228" s="42"/>
      <c r="P228" s="42">
        <f t="shared" si="197"/>
        <v>108508.875</v>
      </c>
      <c r="Q228" s="58"/>
      <c r="R228" s="42">
        <f t="shared" si="198"/>
        <v>3255266</v>
      </c>
      <c r="S228" s="42"/>
      <c r="T228" s="168"/>
    </row>
    <row r="229" spans="1:23" x14ac:dyDescent="0.25">
      <c r="A229" s="61"/>
      <c r="B229" s="51" t="s">
        <v>28</v>
      </c>
      <c r="C229" s="42">
        <v>250</v>
      </c>
      <c r="D229" s="42">
        <v>40721</v>
      </c>
      <c r="E229" s="42">
        <f t="shared" si="199"/>
        <v>10180250</v>
      </c>
      <c r="F229" s="42">
        <f t="shared" si="195"/>
        <v>14375</v>
      </c>
      <c r="G229" s="42">
        <f t="shared" ref="G229:G230" si="206">C229*F229</f>
        <v>3593750</v>
      </c>
      <c r="H229" s="62">
        <v>13347.1</v>
      </c>
      <c r="I229" s="63">
        <v>1.25</v>
      </c>
      <c r="J229" s="42">
        <f t="shared" ref="J229:J230" si="207">H229*I229</f>
        <v>16683.875</v>
      </c>
      <c r="K229" s="42">
        <f t="shared" ref="K229:K230" si="208">ROUND(C229*J229,0)</f>
        <v>4170969</v>
      </c>
      <c r="L229" s="42"/>
      <c r="M229" s="42"/>
      <c r="N229" s="42"/>
      <c r="O229" s="42"/>
      <c r="P229" s="42">
        <f t="shared" si="197"/>
        <v>71779.875</v>
      </c>
      <c r="Q229" s="58"/>
      <c r="R229" s="42">
        <f t="shared" si="198"/>
        <v>17944969</v>
      </c>
      <c r="S229" s="42"/>
      <c r="T229" s="168"/>
    </row>
    <row r="230" spans="1:23" x14ac:dyDescent="0.25">
      <c r="A230" s="61"/>
      <c r="B230" s="51" t="s">
        <v>289</v>
      </c>
      <c r="C230" s="42">
        <v>200</v>
      </c>
      <c r="D230" s="42">
        <v>40721</v>
      </c>
      <c r="E230" s="42">
        <f t="shared" si="199"/>
        <v>8144200</v>
      </c>
      <c r="F230" s="42">
        <f t="shared" si="195"/>
        <v>14375</v>
      </c>
      <c r="G230" s="42">
        <f t="shared" si="206"/>
        <v>2875000</v>
      </c>
      <c r="H230" s="62">
        <v>13347.1</v>
      </c>
      <c r="I230" s="63">
        <v>1.25</v>
      </c>
      <c r="J230" s="42">
        <f t="shared" si="207"/>
        <v>16683.875</v>
      </c>
      <c r="K230" s="42">
        <f t="shared" si="208"/>
        <v>3336775</v>
      </c>
      <c r="L230" s="42"/>
      <c r="M230" s="42"/>
      <c r="N230" s="42"/>
      <c r="O230" s="42"/>
      <c r="P230" s="42">
        <f t="shared" si="197"/>
        <v>71779.875</v>
      </c>
      <c r="Q230" s="58"/>
      <c r="R230" s="42">
        <f t="shared" si="198"/>
        <v>14355975</v>
      </c>
      <c r="S230" s="42"/>
      <c r="T230" s="168"/>
    </row>
    <row r="231" spans="1:23" ht="39" x14ac:dyDescent="0.25">
      <c r="A231" s="61" t="s">
        <v>131</v>
      </c>
      <c r="B231" s="51" t="s">
        <v>319</v>
      </c>
      <c r="C231" s="42"/>
      <c r="D231" s="42"/>
      <c r="E231" s="42"/>
      <c r="F231" s="42">
        <f t="shared" si="195"/>
        <v>0</v>
      </c>
      <c r="G231" s="42"/>
      <c r="H231" s="62"/>
      <c r="I231" s="42"/>
      <c r="J231" s="42"/>
      <c r="K231" s="42"/>
      <c r="L231" s="42"/>
      <c r="M231" s="42"/>
      <c r="N231" s="42"/>
      <c r="O231" s="42"/>
      <c r="P231" s="42"/>
      <c r="Q231" s="58"/>
      <c r="R231" s="42"/>
      <c r="S231" s="42"/>
      <c r="T231" s="168"/>
    </row>
    <row r="232" spans="1:23" hidden="1" x14ac:dyDescent="0.25">
      <c r="A232" s="61"/>
      <c r="B232" s="51" t="s">
        <v>27</v>
      </c>
      <c r="C232" s="42"/>
      <c r="D232" s="42"/>
      <c r="E232" s="42"/>
      <c r="F232" s="42">
        <f t="shared" si="195"/>
        <v>0</v>
      </c>
      <c r="G232" s="42"/>
      <c r="H232" s="62">
        <v>13347.1</v>
      </c>
      <c r="I232" s="42"/>
      <c r="J232" s="42"/>
      <c r="K232" s="42"/>
      <c r="L232" s="42"/>
      <c r="M232" s="42"/>
      <c r="N232" s="42"/>
      <c r="O232" s="42"/>
      <c r="P232" s="42"/>
      <c r="Q232" s="58"/>
      <c r="R232" s="42"/>
      <c r="S232" s="42"/>
      <c r="T232" s="168"/>
    </row>
    <row r="233" spans="1:23" x14ac:dyDescent="0.25">
      <c r="A233" s="61"/>
      <c r="B233" s="51" t="s">
        <v>289</v>
      </c>
      <c r="C233" s="42">
        <v>10</v>
      </c>
      <c r="D233" s="42">
        <v>144434</v>
      </c>
      <c r="E233" s="42">
        <f t="shared" ref="E233" si="209">C233*D233</f>
        <v>1444340</v>
      </c>
      <c r="F233" s="42">
        <f t="shared" si="195"/>
        <v>50985</v>
      </c>
      <c r="G233" s="42">
        <f t="shared" ref="G233" si="210">C233*F233</f>
        <v>509850</v>
      </c>
      <c r="H233" s="62">
        <v>13347.1</v>
      </c>
      <c r="I233" s="63">
        <v>1.25</v>
      </c>
      <c r="J233" s="42">
        <f t="shared" ref="J233" si="211">H233*I233</f>
        <v>16683.875</v>
      </c>
      <c r="K233" s="42">
        <f t="shared" ref="K233" si="212">ROUND(C233*J233,0)</f>
        <v>166839</v>
      </c>
      <c r="L233" s="42"/>
      <c r="M233" s="42"/>
      <c r="N233" s="42"/>
      <c r="O233" s="42"/>
      <c r="P233" s="42">
        <f t="shared" ref="P233" si="213">D233+F233+J233+N233</f>
        <v>212102.875</v>
      </c>
      <c r="Q233" s="58"/>
      <c r="R233" s="42">
        <f t="shared" ref="R233" si="214">E233+G233+K233+O233</f>
        <v>2121029</v>
      </c>
      <c r="S233" s="42"/>
      <c r="T233" s="168"/>
    </row>
    <row r="234" spans="1:23" ht="51.75" x14ac:dyDescent="0.25">
      <c r="A234" s="61" t="s">
        <v>135</v>
      </c>
      <c r="B234" s="51" t="s">
        <v>298</v>
      </c>
      <c r="C234" s="42"/>
      <c r="D234" s="42"/>
      <c r="E234" s="42"/>
      <c r="F234" s="42">
        <f t="shared" si="195"/>
        <v>0</v>
      </c>
      <c r="G234" s="42"/>
      <c r="H234" s="62"/>
      <c r="I234" s="42"/>
      <c r="J234" s="42"/>
      <c r="K234" s="42"/>
      <c r="L234" s="42"/>
      <c r="M234" s="42"/>
      <c r="N234" s="42"/>
      <c r="O234" s="42"/>
      <c r="P234" s="42"/>
      <c r="Q234" s="58"/>
      <c r="R234" s="42"/>
      <c r="S234" s="42"/>
      <c r="T234" s="168"/>
    </row>
    <row r="235" spans="1:23" x14ac:dyDescent="0.25">
      <c r="A235" s="61"/>
      <c r="B235" s="51" t="s">
        <v>287</v>
      </c>
      <c r="C235" s="42">
        <v>15</v>
      </c>
      <c r="D235" s="42">
        <v>25854</v>
      </c>
      <c r="E235" s="42">
        <f t="shared" si="199"/>
        <v>387810</v>
      </c>
      <c r="F235" s="42">
        <f t="shared" si="195"/>
        <v>9126</v>
      </c>
      <c r="G235" s="42">
        <f t="shared" ref="G235" si="215">C235*F235</f>
        <v>136890</v>
      </c>
      <c r="H235" s="62">
        <v>13347.1</v>
      </c>
      <c r="I235" s="63">
        <v>1.25</v>
      </c>
      <c r="J235" s="42">
        <f t="shared" ref="J235" si="216">H235*I235</f>
        <v>16683.875</v>
      </c>
      <c r="K235" s="42">
        <f t="shared" ref="K235" si="217">ROUND(C235*J235,0)</f>
        <v>250258</v>
      </c>
      <c r="L235" s="42"/>
      <c r="M235" s="42"/>
      <c r="N235" s="42"/>
      <c r="O235" s="42"/>
      <c r="P235" s="42">
        <f t="shared" si="197"/>
        <v>51663.875</v>
      </c>
      <c r="Q235" s="58"/>
      <c r="R235" s="42">
        <f t="shared" si="198"/>
        <v>774958</v>
      </c>
      <c r="S235" s="42"/>
      <c r="T235" s="168"/>
    </row>
    <row r="236" spans="1:23" ht="51.75" x14ac:dyDescent="0.25">
      <c r="A236" s="61" t="s">
        <v>136</v>
      </c>
      <c r="B236" s="51" t="s">
        <v>295</v>
      </c>
      <c r="C236" s="42"/>
      <c r="D236" s="42"/>
      <c r="E236" s="42"/>
      <c r="F236" s="42">
        <f t="shared" si="195"/>
        <v>0</v>
      </c>
      <c r="G236" s="42"/>
      <c r="H236" s="62"/>
      <c r="I236" s="42"/>
      <c r="J236" s="42"/>
      <c r="K236" s="42"/>
      <c r="L236" s="42"/>
      <c r="M236" s="42"/>
      <c r="N236" s="42"/>
      <c r="O236" s="42"/>
      <c r="P236" s="42"/>
      <c r="Q236" s="58"/>
      <c r="R236" s="42"/>
      <c r="S236" s="42"/>
      <c r="T236" s="168"/>
    </row>
    <row r="237" spans="1:23" x14ac:dyDescent="0.25">
      <c r="A237" s="61"/>
      <c r="B237" s="51" t="s">
        <v>287</v>
      </c>
      <c r="C237" s="42"/>
      <c r="D237" s="42"/>
      <c r="E237" s="42">
        <f t="shared" si="199"/>
        <v>0</v>
      </c>
      <c r="F237" s="42">
        <f t="shared" si="195"/>
        <v>0</v>
      </c>
      <c r="G237" s="42">
        <f t="shared" ref="G237:G238" si="218">C237*F237</f>
        <v>0</v>
      </c>
      <c r="H237" s="62">
        <v>13347.1</v>
      </c>
      <c r="I237" s="63">
        <v>1.25</v>
      </c>
      <c r="J237" s="42">
        <f t="shared" ref="J237:J238" si="219">H237*I237</f>
        <v>16683.875</v>
      </c>
      <c r="K237" s="42">
        <f t="shared" ref="K237" si="220">ROUND(C237*J237,0)</f>
        <v>0</v>
      </c>
      <c r="L237" s="42"/>
      <c r="M237" s="42"/>
      <c r="N237" s="42"/>
      <c r="O237" s="42"/>
      <c r="P237" s="42">
        <f t="shared" si="197"/>
        <v>16683.875</v>
      </c>
      <c r="Q237" s="58"/>
      <c r="R237" s="42">
        <f t="shared" si="198"/>
        <v>0</v>
      </c>
      <c r="S237" s="42"/>
      <c r="T237" s="168"/>
    </row>
    <row r="238" spans="1:23" x14ac:dyDescent="0.25">
      <c r="A238" s="61"/>
      <c r="B238" s="51" t="s">
        <v>29</v>
      </c>
      <c r="C238" s="42">
        <v>21</v>
      </c>
      <c r="D238" s="42">
        <v>54293</v>
      </c>
      <c r="E238" s="42">
        <f t="shared" si="199"/>
        <v>1140153</v>
      </c>
      <c r="F238" s="42">
        <f t="shared" si="195"/>
        <v>19165</v>
      </c>
      <c r="G238" s="42">
        <f t="shared" si="218"/>
        <v>402465</v>
      </c>
      <c r="H238" s="62">
        <v>13347.1</v>
      </c>
      <c r="I238" s="63">
        <v>1.25</v>
      </c>
      <c r="J238" s="42">
        <f t="shared" si="219"/>
        <v>16683.875</v>
      </c>
      <c r="K238" s="42">
        <f>ROUND(C238*J238,0)+410662</f>
        <v>761023</v>
      </c>
      <c r="L238" s="42"/>
      <c r="M238" s="42"/>
      <c r="N238" s="42"/>
      <c r="O238" s="42"/>
      <c r="P238" s="42">
        <f t="shared" si="197"/>
        <v>90141.875</v>
      </c>
      <c r="Q238" s="58"/>
      <c r="R238" s="42">
        <f t="shared" si="198"/>
        <v>2303641</v>
      </c>
      <c r="S238" s="42"/>
      <c r="T238" s="168"/>
    </row>
    <row r="239" spans="1:23" x14ac:dyDescent="0.25">
      <c r="A239" s="61" t="s">
        <v>296</v>
      </c>
      <c r="B239" s="51" t="s">
        <v>13</v>
      </c>
      <c r="C239" s="42">
        <v>596</v>
      </c>
      <c r="D239" s="42"/>
      <c r="E239" s="42"/>
      <c r="F239" s="42"/>
      <c r="G239" s="42"/>
      <c r="H239" s="42"/>
      <c r="I239" s="42"/>
      <c r="J239" s="42"/>
      <c r="K239" s="42"/>
      <c r="L239" s="63">
        <v>3605.27</v>
      </c>
      <c r="M239" s="63">
        <v>1.4450000000000001</v>
      </c>
      <c r="N239" s="42">
        <f t="shared" ref="N239" si="221">L239*M239</f>
        <v>5209.6151500000005</v>
      </c>
      <c r="O239" s="42">
        <f>ROUND(C239*N239,0)</f>
        <v>3104931</v>
      </c>
      <c r="P239" s="42">
        <f t="shared" si="197"/>
        <v>5209.6151500000005</v>
      </c>
      <c r="Q239" s="58"/>
      <c r="R239" s="42">
        <f t="shared" si="198"/>
        <v>3104931</v>
      </c>
      <c r="S239" s="42"/>
      <c r="T239" s="168"/>
    </row>
    <row r="240" spans="1:23" s="60" customFormat="1" hidden="1" x14ac:dyDescent="0.25">
      <c r="A240" s="56"/>
      <c r="B240" s="51" t="s">
        <v>27</v>
      </c>
      <c r="C240" s="58"/>
      <c r="D240" s="58"/>
      <c r="E240" s="58"/>
      <c r="F240" s="42"/>
      <c r="G240" s="58"/>
      <c r="H240" s="42"/>
      <c r="I240" s="58"/>
      <c r="J240" s="42"/>
      <c r="K240" s="42"/>
      <c r="L240" s="42"/>
      <c r="M240" s="42"/>
      <c r="N240" s="42"/>
      <c r="O240" s="42"/>
      <c r="P240" s="42"/>
      <c r="Q240" s="58"/>
      <c r="R240" s="42"/>
      <c r="S240" s="58"/>
      <c r="T240" s="168"/>
      <c r="U240" s="68"/>
      <c r="V240" s="66"/>
      <c r="W240" s="66"/>
    </row>
    <row r="241" spans="1:23" hidden="1" x14ac:dyDescent="0.25">
      <c r="A241" s="61"/>
      <c r="B241" s="51" t="s">
        <v>28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58"/>
      <c r="R241" s="42"/>
      <c r="S241" s="42"/>
      <c r="T241" s="168"/>
    </row>
    <row r="242" spans="1:23" hidden="1" x14ac:dyDescent="0.25">
      <c r="A242" s="61"/>
      <c r="B242" s="51" t="s">
        <v>29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58"/>
      <c r="R242" s="42"/>
      <c r="S242" s="42"/>
      <c r="T242" s="168"/>
    </row>
    <row r="243" spans="1:23" x14ac:dyDescent="0.25">
      <c r="A243" s="85"/>
      <c r="B243" s="86" t="s">
        <v>315</v>
      </c>
      <c r="C243" s="75">
        <f>C224+C225+C226+C228+C229+C230+C235+C237+C238+C233</f>
        <v>596</v>
      </c>
      <c r="D243" s="75"/>
      <c r="E243" s="75">
        <f>E224+E225+E226+E228+E229+E230+E235+E237+E239+E238+E233</f>
        <v>28410000</v>
      </c>
      <c r="F243" s="75"/>
      <c r="G243" s="75">
        <f>G224+G225+G226+G228+G229+G230+G235+G237+G239+G233+G238</f>
        <v>9879420</v>
      </c>
      <c r="H243" s="75"/>
      <c r="I243" s="75"/>
      <c r="J243" s="75"/>
      <c r="K243" s="75">
        <f>K224+K225+K226+K228+K229+K230+K235+K237+K239+K238+K233</f>
        <v>10355649</v>
      </c>
      <c r="L243" s="75"/>
      <c r="M243" s="75"/>
      <c r="N243" s="75"/>
      <c r="O243" s="75">
        <f>O224+O225+O226+O228+O229+O230+O235+O237+O239</f>
        <v>3104931</v>
      </c>
      <c r="P243" s="75"/>
      <c r="Q243" s="75"/>
      <c r="R243" s="75">
        <f>R224+R225+R226+R228+R229+R230+R235+R237+R239+R233+R238</f>
        <v>51750000</v>
      </c>
      <c r="S243" s="75">
        <v>604000</v>
      </c>
      <c r="T243" s="170">
        <f>R243+S243</f>
        <v>52354000</v>
      </c>
      <c r="U243" s="180"/>
      <c r="V243" s="180"/>
    </row>
    <row r="244" spans="1:23" s="60" customFormat="1" x14ac:dyDescent="0.25">
      <c r="A244" s="56">
        <v>14</v>
      </c>
      <c r="B244" s="57" t="s">
        <v>42</v>
      </c>
      <c r="C244" s="58"/>
      <c r="D244" s="58"/>
      <c r="E244" s="58"/>
      <c r="F244" s="58"/>
      <c r="G244" s="58"/>
      <c r="H244" s="58"/>
      <c r="I244" s="58"/>
      <c r="J244" s="42"/>
      <c r="K244" s="58"/>
      <c r="L244" s="58"/>
      <c r="M244" s="58"/>
      <c r="N244" s="58"/>
      <c r="O244" s="58"/>
      <c r="P244" s="42"/>
      <c r="Q244" s="58"/>
      <c r="R244" s="58"/>
      <c r="S244" s="58"/>
      <c r="T244" s="168"/>
      <c r="U244" s="68"/>
      <c r="V244" s="66"/>
      <c r="W244" s="66"/>
    </row>
    <row r="245" spans="1:23" ht="39" x14ac:dyDescent="0.25">
      <c r="A245" s="61" t="s">
        <v>137</v>
      </c>
      <c r="B245" s="51" t="s">
        <v>44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58"/>
      <c r="R245" s="42"/>
      <c r="S245" s="42"/>
      <c r="T245" s="168"/>
    </row>
    <row r="246" spans="1:23" x14ac:dyDescent="0.25">
      <c r="A246" s="61"/>
      <c r="B246" s="51" t="s">
        <v>287</v>
      </c>
      <c r="C246" s="42">
        <v>15</v>
      </c>
      <c r="D246" s="42">
        <v>77562</v>
      </c>
      <c r="E246" s="42">
        <f>C246*D246+81931</f>
        <v>1245361</v>
      </c>
      <c r="F246" s="42">
        <f t="shared" ref="F246:F255" si="222">ROUND(D246*35.3%,0)</f>
        <v>27379</v>
      </c>
      <c r="G246" s="42">
        <f>C246*F246</f>
        <v>410685</v>
      </c>
      <c r="H246" s="62">
        <v>13347.1</v>
      </c>
      <c r="I246" s="63">
        <v>1.28</v>
      </c>
      <c r="J246" s="42">
        <f t="shared" ref="J246" si="223">H246*I246</f>
        <v>17084.288</v>
      </c>
      <c r="K246" s="42">
        <f>ROUND(C246*J246,0)+1745</f>
        <v>258009</v>
      </c>
      <c r="L246" s="42"/>
      <c r="M246" s="42"/>
      <c r="N246" s="42"/>
      <c r="O246" s="42"/>
      <c r="P246" s="42">
        <f t="shared" ref="P246:P252" si="224">D246+F246+J246+N246</f>
        <v>122025.288</v>
      </c>
      <c r="Q246" s="58"/>
      <c r="R246" s="42">
        <f t="shared" ref="R246:R252" si="225">E246+G246+K246+O246</f>
        <v>1914055</v>
      </c>
      <c r="S246" s="42"/>
      <c r="T246" s="168"/>
    </row>
    <row r="247" spans="1:23" x14ac:dyDescent="0.25">
      <c r="A247" s="61"/>
      <c r="B247" s="51" t="s">
        <v>28</v>
      </c>
      <c r="C247" s="42"/>
      <c r="D247" s="42"/>
      <c r="E247" s="42"/>
      <c r="F247" s="42">
        <f t="shared" si="222"/>
        <v>0</v>
      </c>
      <c r="G247" s="42"/>
      <c r="H247" s="62">
        <v>13347.1</v>
      </c>
      <c r="I247" s="63"/>
      <c r="J247" s="42"/>
      <c r="K247" s="42"/>
      <c r="L247" s="42"/>
      <c r="M247" s="42"/>
      <c r="N247" s="42"/>
      <c r="O247" s="42"/>
      <c r="P247" s="42"/>
      <c r="Q247" s="58"/>
      <c r="R247" s="42"/>
      <c r="S247" s="42"/>
      <c r="T247" s="168"/>
    </row>
    <row r="248" spans="1:23" x14ac:dyDescent="0.25">
      <c r="A248" s="61"/>
      <c r="B248" s="51" t="s">
        <v>289</v>
      </c>
      <c r="C248" s="42">
        <v>22</v>
      </c>
      <c r="D248" s="42">
        <v>46539</v>
      </c>
      <c r="E248" s="42">
        <f t="shared" ref="E248:E252" si="226">C248*D248</f>
        <v>1023858</v>
      </c>
      <c r="F248" s="42">
        <f t="shared" si="222"/>
        <v>16428</v>
      </c>
      <c r="G248" s="42">
        <f t="shared" ref="G248" si="227">C248*F248</f>
        <v>361416</v>
      </c>
      <c r="H248" s="62">
        <v>13347.1</v>
      </c>
      <c r="I248" s="63">
        <v>1.28</v>
      </c>
      <c r="J248" s="42">
        <f t="shared" ref="J248" si="228">H248*I248</f>
        <v>17084.288</v>
      </c>
      <c r="K248" s="42">
        <f t="shared" ref="K248" si="229">ROUND(C248*J248,0)</f>
        <v>375854</v>
      </c>
      <c r="L248" s="42"/>
      <c r="M248" s="42"/>
      <c r="N248" s="42"/>
      <c r="O248" s="42"/>
      <c r="P248" s="42">
        <f t="shared" si="224"/>
        <v>80051.288</v>
      </c>
      <c r="Q248" s="58"/>
      <c r="R248" s="42">
        <f t="shared" si="225"/>
        <v>1761128</v>
      </c>
      <c r="S248" s="42"/>
      <c r="T248" s="168"/>
    </row>
    <row r="249" spans="1:23" ht="39" x14ac:dyDescent="0.25">
      <c r="A249" s="61" t="s">
        <v>138</v>
      </c>
      <c r="B249" s="51" t="s">
        <v>45</v>
      </c>
      <c r="C249" s="42"/>
      <c r="D249" s="42"/>
      <c r="E249" s="42"/>
      <c r="F249" s="42">
        <f t="shared" si="222"/>
        <v>0</v>
      </c>
      <c r="G249" s="42"/>
      <c r="H249" s="62"/>
      <c r="I249" s="42"/>
      <c r="J249" s="42"/>
      <c r="K249" s="42"/>
      <c r="L249" s="42"/>
      <c r="M249" s="42"/>
      <c r="N249" s="42"/>
      <c r="O249" s="42"/>
      <c r="P249" s="42"/>
      <c r="Q249" s="58"/>
      <c r="R249" s="42"/>
      <c r="S249" s="42"/>
      <c r="T249" s="168"/>
    </row>
    <row r="250" spans="1:23" x14ac:dyDescent="0.25">
      <c r="A250" s="61"/>
      <c r="B250" s="51" t="s">
        <v>287</v>
      </c>
      <c r="C250" s="42">
        <v>15</v>
      </c>
      <c r="D250" s="42">
        <v>67868</v>
      </c>
      <c r="E250" s="42">
        <f t="shared" si="226"/>
        <v>1018020</v>
      </c>
      <c r="F250" s="42">
        <f t="shared" si="222"/>
        <v>23957</v>
      </c>
      <c r="G250" s="42">
        <f t="shared" ref="G250" si="230">C250*F250</f>
        <v>359355</v>
      </c>
      <c r="H250" s="62">
        <v>13347.1</v>
      </c>
      <c r="I250" s="63">
        <v>1.28</v>
      </c>
      <c r="J250" s="42">
        <f t="shared" ref="J250" si="231">H250*I250</f>
        <v>17084.288</v>
      </c>
      <c r="K250" s="42">
        <f t="shared" ref="K250" si="232">ROUND(C250*J250,0)</f>
        <v>256264</v>
      </c>
      <c r="L250" s="42"/>
      <c r="M250" s="42"/>
      <c r="N250" s="42"/>
      <c r="O250" s="42"/>
      <c r="P250" s="42">
        <f t="shared" si="224"/>
        <v>108909.288</v>
      </c>
      <c r="Q250" s="58"/>
      <c r="R250" s="42">
        <f t="shared" si="225"/>
        <v>1633639</v>
      </c>
      <c r="S250" s="42"/>
      <c r="T250" s="168"/>
    </row>
    <row r="251" spans="1:23" x14ac:dyDescent="0.25">
      <c r="A251" s="61"/>
      <c r="B251" s="51" t="s">
        <v>28</v>
      </c>
      <c r="C251" s="42">
        <v>111</v>
      </c>
      <c r="D251" s="42">
        <v>40721</v>
      </c>
      <c r="E251" s="42">
        <f t="shared" si="226"/>
        <v>4520031</v>
      </c>
      <c r="F251" s="42">
        <f t="shared" si="222"/>
        <v>14375</v>
      </c>
      <c r="G251" s="42">
        <f t="shared" ref="G251" si="233">C251*F251</f>
        <v>1595625</v>
      </c>
      <c r="H251" s="62">
        <v>13347.1</v>
      </c>
      <c r="I251" s="63">
        <v>1.28</v>
      </c>
      <c r="J251" s="42">
        <f t="shared" ref="J251" si="234">H251*I251</f>
        <v>17084.288</v>
      </c>
      <c r="K251" s="42">
        <f t="shared" ref="K251" si="235">ROUND(C251*J251,0)</f>
        <v>1896356</v>
      </c>
      <c r="L251" s="42"/>
      <c r="M251" s="42"/>
      <c r="N251" s="42"/>
      <c r="O251" s="42"/>
      <c r="P251" s="42">
        <f t="shared" si="224"/>
        <v>72180.288</v>
      </c>
      <c r="Q251" s="58"/>
      <c r="R251" s="42">
        <f t="shared" si="225"/>
        <v>8012012</v>
      </c>
      <c r="S251" s="42"/>
      <c r="T251" s="168"/>
    </row>
    <row r="252" spans="1:23" x14ac:dyDescent="0.25">
      <c r="A252" s="61"/>
      <c r="B252" s="51" t="s">
        <v>289</v>
      </c>
      <c r="C252" s="42">
        <v>50</v>
      </c>
      <c r="D252" s="42">
        <v>40721</v>
      </c>
      <c r="E252" s="42">
        <f t="shared" si="226"/>
        <v>2036050</v>
      </c>
      <c r="F252" s="42">
        <f t="shared" si="222"/>
        <v>14375</v>
      </c>
      <c r="G252" s="42">
        <f t="shared" ref="G252" si="236">C252*F252</f>
        <v>718750</v>
      </c>
      <c r="H252" s="62">
        <v>13347.1</v>
      </c>
      <c r="I252" s="63">
        <v>1.28</v>
      </c>
      <c r="J252" s="42">
        <f t="shared" ref="J252" si="237">H252*I252</f>
        <v>17084.288</v>
      </c>
      <c r="K252" s="42">
        <f t="shared" ref="K252" si="238">ROUND(C252*J252,0)</f>
        <v>854214</v>
      </c>
      <c r="L252" s="42"/>
      <c r="M252" s="42"/>
      <c r="N252" s="42"/>
      <c r="O252" s="42"/>
      <c r="P252" s="42">
        <f t="shared" si="224"/>
        <v>72180.288</v>
      </c>
      <c r="Q252" s="58"/>
      <c r="R252" s="42">
        <f t="shared" si="225"/>
        <v>3609014</v>
      </c>
      <c r="S252" s="42"/>
      <c r="T252" s="168"/>
    </row>
    <row r="253" spans="1:23" ht="39" x14ac:dyDescent="0.25">
      <c r="A253" s="61" t="s">
        <v>139</v>
      </c>
      <c r="B253" s="51" t="s">
        <v>319</v>
      </c>
      <c r="C253" s="42"/>
      <c r="D253" s="42"/>
      <c r="E253" s="42"/>
      <c r="F253" s="42">
        <f t="shared" si="222"/>
        <v>0</v>
      </c>
      <c r="G253" s="42"/>
      <c r="H253" s="62"/>
      <c r="I253" s="42"/>
      <c r="J253" s="42"/>
      <c r="K253" s="42"/>
      <c r="L253" s="42"/>
      <c r="M253" s="42"/>
      <c r="N253" s="42"/>
      <c r="O253" s="42"/>
      <c r="P253" s="42"/>
      <c r="Q253" s="58"/>
      <c r="R253" s="42"/>
      <c r="S253" s="42"/>
      <c r="T253" s="168"/>
    </row>
    <row r="254" spans="1:23" hidden="1" x14ac:dyDescent="0.25">
      <c r="A254" s="61"/>
      <c r="B254" s="51" t="s">
        <v>27</v>
      </c>
      <c r="C254" s="42"/>
      <c r="D254" s="42"/>
      <c r="E254" s="42"/>
      <c r="F254" s="42">
        <f t="shared" si="222"/>
        <v>0</v>
      </c>
      <c r="G254" s="42"/>
      <c r="H254" s="62">
        <v>13347.1</v>
      </c>
      <c r="I254" s="42"/>
      <c r="J254" s="42"/>
      <c r="K254" s="42"/>
      <c r="L254" s="42"/>
      <c r="M254" s="42"/>
      <c r="N254" s="42"/>
      <c r="O254" s="42"/>
      <c r="P254" s="42"/>
      <c r="Q254" s="58"/>
      <c r="R254" s="42"/>
      <c r="S254" s="42"/>
      <c r="T254" s="168"/>
    </row>
    <row r="255" spans="1:23" x14ac:dyDescent="0.25">
      <c r="A255" s="61"/>
      <c r="B255" s="51" t="s">
        <v>289</v>
      </c>
      <c r="C255" s="42">
        <v>20</v>
      </c>
      <c r="D255" s="42">
        <v>144434</v>
      </c>
      <c r="E255" s="42">
        <f t="shared" ref="E255" si="239">C255*D255</f>
        <v>2888680</v>
      </c>
      <c r="F255" s="42">
        <f t="shared" si="222"/>
        <v>50985</v>
      </c>
      <c r="G255" s="42">
        <f t="shared" ref="G255" si="240">C255*F255</f>
        <v>1019700</v>
      </c>
      <c r="H255" s="62">
        <v>13347.1</v>
      </c>
      <c r="I255" s="63">
        <v>1.28</v>
      </c>
      <c r="J255" s="42">
        <f t="shared" ref="J255" si="241">H255*I255</f>
        <v>17084.288</v>
      </c>
      <c r="K255" s="42">
        <f>ROUND(C255*J255,0)+142203</f>
        <v>483889</v>
      </c>
      <c r="L255" s="42"/>
      <c r="M255" s="42"/>
      <c r="N255" s="42"/>
      <c r="O255" s="42"/>
      <c r="P255" s="42">
        <f t="shared" ref="P255" si="242">D255+F255+J255+N255</f>
        <v>212503.288</v>
      </c>
      <c r="Q255" s="58"/>
      <c r="R255" s="42">
        <f t="shared" ref="R255:R257" si="243">E255+G255+K255+O255</f>
        <v>4392269</v>
      </c>
      <c r="S255" s="42"/>
      <c r="T255" s="168"/>
    </row>
    <row r="256" spans="1:23" hidden="1" x14ac:dyDescent="0.25">
      <c r="A256" s="61"/>
      <c r="B256" s="51" t="s">
        <v>29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58"/>
      <c r="R256" s="42">
        <f t="shared" si="243"/>
        <v>0</v>
      </c>
      <c r="S256" s="42"/>
      <c r="T256" s="168"/>
    </row>
    <row r="257" spans="1:23" x14ac:dyDescent="0.25">
      <c r="A257" s="61" t="s">
        <v>140</v>
      </c>
      <c r="B257" s="51" t="s">
        <v>13</v>
      </c>
      <c r="C257" s="42">
        <v>233</v>
      </c>
      <c r="D257" s="42"/>
      <c r="E257" s="42"/>
      <c r="F257" s="42"/>
      <c r="G257" s="42"/>
      <c r="H257" s="42"/>
      <c r="I257" s="42"/>
      <c r="J257" s="42"/>
      <c r="K257" s="42"/>
      <c r="L257" s="63">
        <v>3605.27</v>
      </c>
      <c r="M257" s="63">
        <v>1.5509999999999999</v>
      </c>
      <c r="N257" s="42">
        <f t="shared" ref="N257" si="244">L257*M257</f>
        <v>5591.7737699999998</v>
      </c>
      <c r="O257" s="42">
        <f>ROUND(C257*N257,0)</f>
        <v>1302883</v>
      </c>
      <c r="P257" s="42">
        <f t="shared" ref="P257" si="245">D257+F257+J257+N257</f>
        <v>5591.7737699999998</v>
      </c>
      <c r="Q257" s="58"/>
      <c r="R257" s="42">
        <f t="shared" si="243"/>
        <v>1302883</v>
      </c>
      <c r="S257" s="42"/>
      <c r="T257" s="168"/>
    </row>
    <row r="258" spans="1:23" s="60" customFormat="1" hidden="1" x14ac:dyDescent="0.25">
      <c r="A258" s="56"/>
      <c r="B258" s="51" t="s">
        <v>27</v>
      </c>
      <c r="C258" s="58"/>
      <c r="D258" s="58"/>
      <c r="E258" s="58"/>
      <c r="F258" s="42"/>
      <c r="G258" s="58"/>
      <c r="H258" s="42"/>
      <c r="I258" s="58"/>
      <c r="J258" s="42"/>
      <c r="K258" s="42"/>
      <c r="L258" s="42"/>
      <c r="M258" s="42"/>
      <c r="N258" s="42"/>
      <c r="O258" s="42"/>
      <c r="P258" s="42"/>
      <c r="Q258" s="58"/>
      <c r="R258" s="42"/>
      <c r="S258" s="58"/>
      <c r="T258" s="168"/>
      <c r="U258" s="68"/>
      <c r="V258" s="66"/>
      <c r="W258" s="66"/>
    </row>
    <row r="259" spans="1:23" hidden="1" x14ac:dyDescent="0.25">
      <c r="A259" s="61"/>
      <c r="B259" s="51" t="s">
        <v>28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58"/>
      <c r="R259" s="42"/>
      <c r="S259" s="42"/>
      <c r="T259" s="168"/>
    </row>
    <row r="260" spans="1:23" hidden="1" x14ac:dyDescent="0.25">
      <c r="A260" s="61"/>
      <c r="B260" s="51" t="s">
        <v>29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58"/>
      <c r="R260" s="42"/>
      <c r="S260" s="42"/>
      <c r="T260" s="168"/>
    </row>
    <row r="261" spans="1:23" x14ac:dyDescent="0.25">
      <c r="A261" s="85"/>
      <c r="B261" s="86" t="s">
        <v>315</v>
      </c>
      <c r="C261" s="75">
        <f>C246+C248+C251+C252+C255+C250</f>
        <v>233</v>
      </c>
      <c r="D261" s="75"/>
      <c r="E261" s="75">
        <f>E246+E248+E251+E252+E255+E250+E257</f>
        <v>12732000</v>
      </c>
      <c r="F261" s="75"/>
      <c r="G261" s="75">
        <f>G246+G248+G251+G252+G255+G250+G257</f>
        <v>4465531</v>
      </c>
      <c r="H261" s="75"/>
      <c r="I261" s="75"/>
      <c r="J261" s="75"/>
      <c r="K261" s="75">
        <f>K246+K248+K251+K252+K255+K250+K257</f>
        <v>4124586</v>
      </c>
      <c r="L261" s="75"/>
      <c r="M261" s="75"/>
      <c r="N261" s="75"/>
      <c r="O261" s="75">
        <f>O246+O248+O251+O252+O255+O250+O257</f>
        <v>1302883</v>
      </c>
      <c r="P261" s="75"/>
      <c r="Q261" s="75"/>
      <c r="R261" s="75">
        <f>R246+R248+R251+R252+R255+R250+R257</f>
        <v>22625000</v>
      </c>
      <c r="S261" s="75">
        <v>236000</v>
      </c>
      <c r="T261" s="170">
        <f>R261+S261</f>
        <v>22861000</v>
      </c>
      <c r="U261" s="180"/>
      <c r="V261" s="180"/>
    </row>
    <row r="262" spans="1:23" s="60" customFormat="1" x14ac:dyDescent="0.25">
      <c r="A262" s="56">
        <v>15</v>
      </c>
      <c r="B262" s="57" t="s">
        <v>282</v>
      </c>
      <c r="C262" s="58"/>
      <c r="D262" s="58"/>
      <c r="E262" s="58"/>
      <c r="F262" s="58"/>
      <c r="G262" s="58"/>
      <c r="H262" s="58"/>
      <c r="I262" s="58"/>
      <c r="J262" s="42"/>
      <c r="K262" s="58"/>
      <c r="L262" s="58"/>
      <c r="M262" s="58"/>
      <c r="N262" s="58"/>
      <c r="O262" s="58"/>
      <c r="P262" s="42"/>
      <c r="Q262" s="58"/>
      <c r="R262" s="58"/>
      <c r="S262" s="58"/>
      <c r="T262" s="168"/>
      <c r="U262" s="68"/>
      <c r="V262" s="66"/>
      <c r="W262" s="66"/>
    </row>
    <row r="263" spans="1:23" ht="39" x14ac:dyDescent="0.25">
      <c r="A263" s="61" t="s">
        <v>141</v>
      </c>
      <c r="B263" s="51" t="s">
        <v>44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58"/>
      <c r="R263" s="42"/>
      <c r="S263" s="42"/>
      <c r="T263" s="168"/>
    </row>
    <row r="264" spans="1:23" x14ac:dyDescent="0.25">
      <c r="A264" s="61"/>
      <c r="B264" s="51" t="s">
        <v>287</v>
      </c>
      <c r="C264" s="42"/>
      <c r="D264" s="42">
        <v>77562</v>
      </c>
      <c r="E264" s="42">
        <f>C264*D264</f>
        <v>0</v>
      </c>
      <c r="F264" s="42">
        <f t="shared" ref="F264:F270" si="246">ROUND(D264*35.3%,0)</f>
        <v>27379</v>
      </c>
      <c r="G264" s="42">
        <f>C264*F264</f>
        <v>0</v>
      </c>
      <c r="H264" s="62">
        <v>13347.1</v>
      </c>
      <c r="I264" s="63">
        <v>1.36</v>
      </c>
      <c r="J264" s="42">
        <f t="shared" ref="J264" si="247">H264*I264</f>
        <v>18152.056</v>
      </c>
      <c r="K264" s="42">
        <f>ROUND(C264*J264,0)</f>
        <v>0</v>
      </c>
      <c r="L264" s="42"/>
      <c r="M264" s="42"/>
      <c r="N264" s="42"/>
      <c r="O264" s="42"/>
      <c r="P264" s="42">
        <f t="shared" ref="P264:P268" si="248">D264+F264+J264+N264</f>
        <v>123093.056</v>
      </c>
      <c r="Q264" s="58"/>
      <c r="R264" s="42">
        <f t="shared" ref="R264:R266" si="249">E264+G264+K264+O264</f>
        <v>0</v>
      </c>
      <c r="S264" s="42"/>
      <c r="T264" s="168"/>
    </row>
    <row r="265" spans="1:23" x14ac:dyDescent="0.25">
      <c r="A265" s="61"/>
      <c r="B265" s="51" t="s">
        <v>28</v>
      </c>
      <c r="C265" s="42">
        <v>10</v>
      </c>
      <c r="D265" s="42">
        <v>46539</v>
      </c>
      <c r="E265" s="42">
        <f>C265*D265-41037</f>
        <v>424353</v>
      </c>
      <c r="F265" s="42">
        <f t="shared" si="246"/>
        <v>16428</v>
      </c>
      <c r="G265" s="42">
        <f t="shared" ref="G265:G270" si="250">C265*F265</f>
        <v>164280</v>
      </c>
      <c r="H265" s="62">
        <v>13347.1</v>
      </c>
      <c r="I265" s="63">
        <v>1.36</v>
      </c>
      <c r="J265" s="42">
        <f t="shared" ref="J265:J266" si="251">H265*I265</f>
        <v>18152.056</v>
      </c>
      <c r="K265" s="42">
        <f t="shared" ref="K265:K266" si="252">ROUND(C265*J265,0)</f>
        <v>181521</v>
      </c>
      <c r="L265" s="42"/>
      <c r="M265" s="42"/>
      <c r="N265" s="42"/>
      <c r="O265" s="42"/>
      <c r="P265" s="42">
        <f t="shared" si="248"/>
        <v>81119.055999999997</v>
      </c>
      <c r="Q265" s="58"/>
      <c r="R265" s="42">
        <f t="shared" si="249"/>
        <v>770154</v>
      </c>
      <c r="S265" s="42"/>
      <c r="T265" s="168"/>
    </row>
    <row r="266" spans="1:23" x14ac:dyDescent="0.25">
      <c r="A266" s="61"/>
      <c r="B266" s="51" t="s">
        <v>29</v>
      </c>
      <c r="C266" s="42">
        <v>15</v>
      </c>
      <c r="D266" s="42">
        <v>46539</v>
      </c>
      <c r="E266" s="42">
        <f t="shared" ref="E266" si="253">C266*D266</f>
        <v>698085</v>
      </c>
      <c r="F266" s="42">
        <f t="shared" si="246"/>
        <v>16428</v>
      </c>
      <c r="G266" s="42">
        <f t="shared" si="250"/>
        <v>246420</v>
      </c>
      <c r="H266" s="62">
        <v>13347.1</v>
      </c>
      <c r="I266" s="63">
        <v>1.36</v>
      </c>
      <c r="J266" s="42">
        <f t="shared" si="251"/>
        <v>18152.056</v>
      </c>
      <c r="K266" s="42">
        <f t="shared" si="252"/>
        <v>272281</v>
      </c>
      <c r="L266" s="42"/>
      <c r="M266" s="42"/>
      <c r="N266" s="42"/>
      <c r="O266" s="42"/>
      <c r="P266" s="42">
        <f t="shared" si="248"/>
        <v>81119.055999999997</v>
      </c>
      <c r="Q266" s="58"/>
      <c r="R266" s="42">
        <f t="shared" si="249"/>
        <v>1216786</v>
      </c>
      <c r="S266" s="42"/>
      <c r="T266" s="168"/>
    </row>
    <row r="267" spans="1:23" ht="39" x14ac:dyDescent="0.25">
      <c r="A267" s="61" t="s">
        <v>142</v>
      </c>
      <c r="B267" s="51" t="s">
        <v>45</v>
      </c>
      <c r="C267" s="42"/>
      <c r="D267" s="42"/>
      <c r="E267" s="42"/>
      <c r="F267" s="42">
        <f t="shared" si="246"/>
        <v>0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58"/>
      <c r="R267" s="42"/>
      <c r="S267" s="42"/>
      <c r="T267" s="168"/>
    </row>
    <row r="268" spans="1:23" x14ac:dyDescent="0.25">
      <c r="A268" s="61"/>
      <c r="B268" s="51" t="s">
        <v>27</v>
      </c>
      <c r="C268" s="42">
        <v>15</v>
      </c>
      <c r="D268" s="42">
        <v>67868</v>
      </c>
      <c r="E268" s="42">
        <f t="shared" ref="E268:E270" si="254">C268*D268</f>
        <v>1018020</v>
      </c>
      <c r="F268" s="42">
        <f t="shared" si="246"/>
        <v>23957</v>
      </c>
      <c r="G268" s="42">
        <f t="shared" si="250"/>
        <v>359355</v>
      </c>
      <c r="H268" s="62">
        <v>13347.1</v>
      </c>
      <c r="I268" s="63">
        <v>1.36</v>
      </c>
      <c r="J268" s="42">
        <f t="shared" ref="J268" si="255">H268*I268</f>
        <v>18152.056</v>
      </c>
      <c r="K268" s="42">
        <f t="shared" ref="K268" si="256">ROUND(C268*J268,0)</f>
        <v>272281</v>
      </c>
      <c r="L268" s="42"/>
      <c r="M268" s="42"/>
      <c r="N268" s="42"/>
      <c r="O268" s="42"/>
      <c r="P268" s="42">
        <f t="shared" si="248"/>
        <v>109977.056</v>
      </c>
      <c r="Q268" s="58"/>
      <c r="R268" s="42">
        <f t="shared" ref="R268:R271" si="257">E268+G268+K268+O268</f>
        <v>1649656</v>
      </c>
      <c r="S268" s="42"/>
      <c r="T268" s="168"/>
    </row>
    <row r="269" spans="1:23" x14ac:dyDescent="0.25">
      <c r="A269" s="61"/>
      <c r="B269" s="51" t="s">
        <v>28</v>
      </c>
      <c r="C269" s="42">
        <v>80</v>
      </c>
      <c r="D269" s="42">
        <v>40721</v>
      </c>
      <c r="E269" s="42">
        <f t="shared" si="254"/>
        <v>3257680</v>
      </c>
      <c r="F269" s="42">
        <f t="shared" si="246"/>
        <v>14375</v>
      </c>
      <c r="G269" s="42">
        <f t="shared" si="250"/>
        <v>1150000</v>
      </c>
      <c r="H269" s="62">
        <v>13347.1</v>
      </c>
      <c r="I269" s="63">
        <v>1.36</v>
      </c>
      <c r="J269" s="42">
        <f t="shared" ref="J269" si="258">H269*I269</f>
        <v>18152.056</v>
      </c>
      <c r="K269" s="42">
        <f t="shared" ref="K269" si="259">ROUND(C269*J269,0)</f>
        <v>1452164</v>
      </c>
      <c r="L269" s="42"/>
      <c r="M269" s="42"/>
      <c r="N269" s="42"/>
      <c r="O269" s="42"/>
      <c r="P269" s="42">
        <f t="shared" ref="P269:P271" si="260">D269+F269+J269+N269</f>
        <v>73248.055999999997</v>
      </c>
      <c r="Q269" s="58"/>
      <c r="R269" s="42">
        <f t="shared" si="257"/>
        <v>5859844</v>
      </c>
      <c r="S269" s="42"/>
      <c r="T269" s="168"/>
    </row>
    <row r="270" spans="1:23" x14ac:dyDescent="0.25">
      <c r="A270" s="61"/>
      <c r="B270" s="51" t="s">
        <v>289</v>
      </c>
      <c r="C270" s="42">
        <v>22</v>
      </c>
      <c r="D270" s="42">
        <v>40721</v>
      </c>
      <c r="E270" s="42">
        <f t="shared" si="254"/>
        <v>895862</v>
      </c>
      <c r="F270" s="42">
        <f t="shared" si="246"/>
        <v>14375</v>
      </c>
      <c r="G270" s="42">
        <f t="shared" si="250"/>
        <v>316250</v>
      </c>
      <c r="H270" s="62">
        <v>13347.1</v>
      </c>
      <c r="I270" s="63">
        <v>1.36</v>
      </c>
      <c r="J270" s="42">
        <f t="shared" ref="J270" si="261">H270*I270</f>
        <v>18152.056</v>
      </c>
      <c r="K270" s="42">
        <f>ROUND(C270*J270,0)+10467</f>
        <v>409812</v>
      </c>
      <c r="L270" s="42"/>
      <c r="M270" s="42"/>
      <c r="N270" s="42"/>
      <c r="O270" s="42"/>
      <c r="P270" s="42">
        <f t="shared" si="260"/>
        <v>73248.055999999997</v>
      </c>
      <c r="Q270" s="58"/>
      <c r="R270" s="42">
        <f t="shared" si="257"/>
        <v>1621924</v>
      </c>
      <c r="S270" s="42"/>
      <c r="T270" s="168"/>
    </row>
    <row r="271" spans="1:23" x14ac:dyDescent="0.25">
      <c r="A271" s="61" t="s">
        <v>143</v>
      </c>
      <c r="B271" s="51" t="s">
        <v>13</v>
      </c>
      <c r="C271" s="42">
        <v>142</v>
      </c>
      <c r="D271" s="42"/>
      <c r="E271" s="42"/>
      <c r="F271" s="42"/>
      <c r="G271" s="42"/>
      <c r="H271" s="42"/>
      <c r="I271" s="42"/>
      <c r="J271" s="42"/>
      <c r="K271" s="42"/>
      <c r="L271" s="63">
        <v>3605.27</v>
      </c>
      <c r="M271" s="63">
        <v>1.476</v>
      </c>
      <c r="N271" s="42">
        <f t="shared" ref="N271" si="262">L271*M271</f>
        <v>5321.3785200000002</v>
      </c>
      <c r="O271" s="42">
        <f>ROUND(C271*N271,0)</f>
        <v>755636</v>
      </c>
      <c r="P271" s="42">
        <f t="shared" si="260"/>
        <v>5321.3785200000002</v>
      </c>
      <c r="Q271" s="58"/>
      <c r="R271" s="42">
        <f t="shared" si="257"/>
        <v>755636</v>
      </c>
      <c r="S271" s="42"/>
      <c r="T271" s="168"/>
    </row>
    <row r="272" spans="1:23" s="60" customFormat="1" hidden="1" x14ac:dyDescent="0.25">
      <c r="A272" s="56"/>
      <c r="B272" s="51" t="s">
        <v>27</v>
      </c>
      <c r="C272" s="58"/>
      <c r="D272" s="58"/>
      <c r="E272" s="58"/>
      <c r="F272" s="42"/>
      <c r="G272" s="58"/>
      <c r="H272" s="42"/>
      <c r="I272" s="58"/>
      <c r="J272" s="42"/>
      <c r="K272" s="42"/>
      <c r="L272" s="42"/>
      <c r="M272" s="42"/>
      <c r="N272" s="42"/>
      <c r="O272" s="42"/>
      <c r="P272" s="42"/>
      <c r="Q272" s="58"/>
      <c r="R272" s="42"/>
      <c r="S272" s="58"/>
      <c r="T272" s="168"/>
      <c r="U272" s="68"/>
      <c r="V272" s="66"/>
      <c r="W272" s="66"/>
    </row>
    <row r="273" spans="1:23" hidden="1" x14ac:dyDescent="0.25">
      <c r="A273" s="61"/>
      <c r="B273" s="51" t="s">
        <v>28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58"/>
      <c r="R273" s="42"/>
      <c r="S273" s="42"/>
      <c r="T273" s="168"/>
    </row>
    <row r="274" spans="1:23" hidden="1" x14ac:dyDescent="0.25">
      <c r="A274" s="61"/>
      <c r="B274" s="51" t="s">
        <v>29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58"/>
      <c r="R274" s="42"/>
      <c r="S274" s="42"/>
      <c r="T274" s="168"/>
    </row>
    <row r="275" spans="1:23" x14ac:dyDescent="0.25">
      <c r="A275" s="85"/>
      <c r="B275" s="86" t="s">
        <v>315</v>
      </c>
      <c r="C275" s="75">
        <f>C264+C269+C270+C265+C266+C268</f>
        <v>142</v>
      </c>
      <c r="D275" s="75"/>
      <c r="E275" s="75">
        <f>E264+E269+E270+E271+E265+E266+E268</f>
        <v>6294000</v>
      </c>
      <c r="F275" s="75"/>
      <c r="G275" s="75">
        <f>G264+G269+G270+G271+G268++G266+G265</f>
        <v>2236305</v>
      </c>
      <c r="H275" s="75"/>
      <c r="I275" s="75"/>
      <c r="J275" s="75"/>
      <c r="K275" s="75">
        <f>K264+K269+K270+K271+K265+K266+K268</f>
        <v>2588059</v>
      </c>
      <c r="L275" s="75"/>
      <c r="M275" s="75"/>
      <c r="N275" s="75"/>
      <c r="O275" s="75">
        <f>O264+O269+O270+O271</f>
        <v>755636</v>
      </c>
      <c r="P275" s="75"/>
      <c r="Q275" s="75"/>
      <c r="R275" s="75">
        <f>R264+R269+R270+R271+R265+R266+R268</f>
        <v>11874000</v>
      </c>
      <c r="S275" s="75">
        <v>89000</v>
      </c>
      <c r="T275" s="170">
        <f>R275+S275</f>
        <v>11963000</v>
      </c>
      <c r="U275" s="180"/>
      <c r="V275" s="180"/>
    </row>
    <row r="276" spans="1:23" s="60" customFormat="1" x14ac:dyDescent="0.25">
      <c r="A276" s="56">
        <v>16</v>
      </c>
      <c r="B276" s="57" t="s">
        <v>43</v>
      </c>
      <c r="C276" s="58"/>
      <c r="D276" s="58"/>
      <c r="E276" s="58"/>
      <c r="F276" s="58"/>
      <c r="G276" s="58"/>
      <c r="H276" s="58"/>
      <c r="I276" s="58"/>
      <c r="J276" s="42"/>
      <c r="K276" s="58"/>
      <c r="L276" s="58"/>
      <c r="M276" s="58"/>
      <c r="N276" s="58"/>
      <c r="O276" s="58"/>
      <c r="P276" s="42"/>
      <c r="Q276" s="58"/>
      <c r="R276" s="58"/>
      <c r="S276" s="58"/>
      <c r="T276" s="168"/>
      <c r="U276" s="68"/>
      <c r="V276" s="66"/>
      <c r="W276" s="66"/>
    </row>
    <row r="277" spans="1:23" ht="39" x14ac:dyDescent="0.25">
      <c r="A277" s="61" t="s">
        <v>144</v>
      </c>
      <c r="B277" s="51" t="s">
        <v>44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58"/>
      <c r="R277" s="42"/>
      <c r="S277" s="42"/>
      <c r="T277" s="168"/>
    </row>
    <row r="278" spans="1:23" x14ac:dyDescent="0.25">
      <c r="A278" s="61"/>
      <c r="B278" s="51" t="s">
        <v>287</v>
      </c>
      <c r="C278" s="42">
        <v>0</v>
      </c>
      <c r="D278" s="42">
        <v>77562</v>
      </c>
      <c r="E278" s="42">
        <f>C278*D278</f>
        <v>0</v>
      </c>
      <c r="F278" s="42">
        <f t="shared" ref="F278:F292" si="263">ROUND(D278*35.3%,0)</f>
        <v>27379</v>
      </c>
      <c r="G278" s="42">
        <f t="shared" ref="G278:G284" si="264">C278*F278</f>
        <v>0</v>
      </c>
      <c r="H278" s="62">
        <v>13347.1</v>
      </c>
      <c r="I278" s="63">
        <v>1.6</v>
      </c>
      <c r="J278" s="42">
        <f t="shared" ref="J278" si="265">H278*I278</f>
        <v>21355.360000000001</v>
      </c>
      <c r="K278" s="42">
        <f>ROUND(C278*J278,0)</f>
        <v>0</v>
      </c>
      <c r="L278" s="42"/>
      <c r="M278" s="42"/>
      <c r="N278" s="42"/>
      <c r="O278" s="42"/>
      <c r="P278" s="42">
        <f t="shared" ref="P278:P284" si="266">D278+F278+J278+N278</f>
        <v>126296.36</v>
      </c>
      <c r="Q278" s="58"/>
      <c r="R278" s="42">
        <f t="shared" ref="R278:R284" si="267">E278+G278+K278+O278</f>
        <v>0</v>
      </c>
      <c r="S278" s="42"/>
      <c r="T278" s="168"/>
    </row>
    <row r="279" spans="1:23" x14ac:dyDescent="0.25">
      <c r="A279" s="61"/>
      <c r="B279" s="51" t="s">
        <v>28</v>
      </c>
      <c r="C279" s="42">
        <v>40</v>
      </c>
      <c r="D279" s="42">
        <v>46539</v>
      </c>
      <c r="E279" s="42">
        <f>C279*D279+100768</f>
        <v>1962328</v>
      </c>
      <c r="F279" s="42">
        <f t="shared" si="263"/>
        <v>16428</v>
      </c>
      <c r="G279" s="42">
        <f t="shared" si="264"/>
        <v>657120</v>
      </c>
      <c r="H279" s="62">
        <v>13347.1</v>
      </c>
      <c r="I279" s="63">
        <v>1.6</v>
      </c>
      <c r="J279" s="42">
        <f t="shared" ref="J279:J280" si="268">H279*I279</f>
        <v>21355.360000000001</v>
      </c>
      <c r="K279" s="42">
        <f t="shared" ref="K279:K280" si="269">ROUND(C279*J279,0)</f>
        <v>854214</v>
      </c>
      <c r="L279" s="42"/>
      <c r="M279" s="42"/>
      <c r="N279" s="42"/>
      <c r="O279" s="42"/>
      <c r="P279" s="42">
        <f t="shared" si="266"/>
        <v>84322.36</v>
      </c>
      <c r="Q279" s="58"/>
      <c r="R279" s="42">
        <f t="shared" si="267"/>
        <v>3473662</v>
      </c>
      <c r="S279" s="42"/>
      <c r="T279" s="168"/>
    </row>
    <row r="280" spans="1:23" x14ac:dyDescent="0.25">
      <c r="A280" s="61"/>
      <c r="B280" s="51" t="s">
        <v>289</v>
      </c>
      <c r="C280" s="42">
        <v>33</v>
      </c>
      <c r="D280" s="42">
        <v>46539</v>
      </c>
      <c r="E280" s="42">
        <f t="shared" ref="E280:E284" si="270">C280*D280</f>
        <v>1535787</v>
      </c>
      <c r="F280" s="42">
        <f t="shared" si="263"/>
        <v>16428</v>
      </c>
      <c r="G280" s="42">
        <f t="shared" si="264"/>
        <v>542124</v>
      </c>
      <c r="H280" s="62">
        <v>13347.1</v>
      </c>
      <c r="I280" s="63">
        <v>1.6</v>
      </c>
      <c r="J280" s="42">
        <f t="shared" si="268"/>
        <v>21355.360000000001</v>
      </c>
      <c r="K280" s="42">
        <f t="shared" si="269"/>
        <v>704727</v>
      </c>
      <c r="L280" s="42"/>
      <c r="M280" s="42"/>
      <c r="N280" s="42"/>
      <c r="O280" s="42"/>
      <c r="P280" s="42">
        <f t="shared" si="266"/>
        <v>84322.36</v>
      </c>
      <c r="Q280" s="58"/>
      <c r="R280" s="42">
        <f t="shared" si="267"/>
        <v>2782638</v>
      </c>
      <c r="S280" s="42"/>
      <c r="T280" s="168"/>
    </row>
    <row r="281" spans="1:23" ht="39" x14ac:dyDescent="0.25">
      <c r="A281" s="61" t="s">
        <v>145</v>
      </c>
      <c r="B281" s="51" t="s">
        <v>45</v>
      </c>
      <c r="C281" s="42"/>
      <c r="D281" s="42"/>
      <c r="E281" s="42"/>
      <c r="F281" s="42">
        <f t="shared" si="263"/>
        <v>0</v>
      </c>
      <c r="G281" s="42"/>
      <c r="H281" s="62"/>
      <c r="I281" s="63"/>
      <c r="J281" s="42"/>
      <c r="K281" s="42"/>
      <c r="L281" s="42"/>
      <c r="M281" s="42"/>
      <c r="N281" s="42"/>
      <c r="O281" s="42"/>
      <c r="P281" s="42"/>
      <c r="Q281" s="58"/>
      <c r="R281" s="42"/>
      <c r="S281" s="42"/>
      <c r="T281" s="168"/>
    </row>
    <row r="282" spans="1:23" x14ac:dyDescent="0.25">
      <c r="A282" s="61"/>
      <c r="B282" s="51" t="s">
        <v>287</v>
      </c>
      <c r="C282" s="42">
        <v>30</v>
      </c>
      <c r="D282" s="42">
        <v>67868</v>
      </c>
      <c r="E282" s="42">
        <f t="shared" si="270"/>
        <v>2036040</v>
      </c>
      <c r="F282" s="42">
        <f t="shared" si="263"/>
        <v>23957</v>
      </c>
      <c r="G282" s="42">
        <f t="shared" si="264"/>
        <v>718710</v>
      </c>
      <c r="H282" s="62">
        <v>13347.1</v>
      </c>
      <c r="I282" s="63">
        <v>1.6</v>
      </c>
      <c r="J282" s="42">
        <f t="shared" ref="J282" si="271">H282*I282</f>
        <v>21355.360000000001</v>
      </c>
      <c r="K282" s="42">
        <f t="shared" ref="K282" si="272">ROUND(C282*J282,0)</f>
        <v>640661</v>
      </c>
      <c r="L282" s="42"/>
      <c r="M282" s="42"/>
      <c r="N282" s="42"/>
      <c r="O282" s="42"/>
      <c r="P282" s="42">
        <f t="shared" si="266"/>
        <v>113180.36</v>
      </c>
      <c r="Q282" s="58"/>
      <c r="R282" s="42">
        <f t="shared" si="267"/>
        <v>3395411</v>
      </c>
      <c r="S282" s="42"/>
      <c r="T282" s="168"/>
    </row>
    <row r="283" spans="1:23" x14ac:dyDescent="0.25">
      <c r="A283" s="61"/>
      <c r="B283" s="51" t="s">
        <v>28</v>
      </c>
      <c r="C283" s="42">
        <v>20</v>
      </c>
      <c r="D283" s="42">
        <v>40721</v>
      </c>
      <c r="E283" s="42">
        <f t="shared" si="270"/>
        <v>814420</v>
      </c>
      <c r="F283" s="42">
        <f t="shared" si="263"/>
        <v>14375</v>
      </c>
      <c r="G283" s="42">
        <f t="shared" si="264"/>
        <v>287500</v>
      </c>
      <c r="H283" s="62">
        <v>13347.1</v>
      </c>
      <c r="I283" s="63">
        <v>1.6</v>
      </c>
      <c r="J283" s="42">
        <f t="shared" ref="J283:J284" si="273">H283*I283</f>
        <v>21355.360000000001</v>
      </c>
      <c r="K283" s="42">
        <f t="shared" ref="K283:K284" si="274">ROUND(C283*J283,0)</f>
        <v>427107</v>
      </c>
      <c r="L283" s="42"/>
      <c r="M283" s="42"/>
      <c r="N283" s="42"/>
      <c r="O283" s="42"/>
      <c r="P283" s="42">
        <f t="shared" si="266"/>
        <v>76451.360000000001</v>
      </c>
      <c r="Q283" s="58"/>
      <c r="R283" s="42">
        <f t="shared" si="267"/>
        <v>1529027</v>
      </c>
      <c r="S283" s="42"/>
      <c r="T283" s="168"/>
    </row>
    <row r="284" spans="1:23" x14ac:dyDescent="0.25">
      <c r="A284" s="61"/>
      <c r="B284" s="51" t="s">
        <v>289</v>
      </c>
      <c r="C284" s="42">
        <v>25</v>
      </c>
      <c r="D284" s="42">
        <v>40721</v>
      </c>
      <c r="E284" s="42">
        <f t="shared" si="270"/>
        <v>1018025</v>
      </c>
      <c r="F284" s="42">
        <f t="shared" si="263"/>
        <v>14375</v>
      </c>
      <c r="G284" s="42">
        <f t="shared" si="264"/>
        <v>359375</v>
      </c>
      <c r="H284" s="62">
        <v>13347.1</v>
      </c>
      <c r="I284" s="63">
        <v>1.6</v>
      </c>
      <c r="J284" s="42">
        <f t="shared" si="273"/>
        <v>21355.360000000001</v>
      </c>
      <c r="K284" s="42">
        <f t="shared" si="274"/>
        <v>533884</v>
      </c>
      <c r="L284" s="42"/>
      <c r="M284" s="42"/>
      <c r="N284" s="42"/>
      <c r="O284" s="42"/>
      <c r="P284" s="42">
        <f t="shared" si="266"/>
        <v>76451.360000000001</v>
      </c>
      <c r="Q284" s="58"/>
      <c r="R284" s="42">
        <f t="shared" si="267"/>
        <v>1911284</v>
      </c>
      <c r="S284" s="42"/>
      <c r="T284" s="168"/>
    </row>
    <row r="285" spans="1:23" ht="39" x14ac:dyDescent="0.25">
      <c r="A285" s="61" t="s">
        <v>146</v>
      </c>
      <c r="B285" s="51" t="s">
        <v>320</v>
      </c>
      <c r="C285" s="42"/>
      <c r="D285" s="42"/>
      <c r="E285" s="42"/>
      <c r="F285" s="42">
        <f t="shared" si="263"/>
        <v>0</v>
      </c>
      <c r="G285" s="42"/>
      <c r="H285" s="62"/>
      <c r="I285" s="63"/>
      <c r="J285" s="42"/>
      <c r="K285" s="42"/>
      <c r="L285" s="42"/>
      <c r="M285" s="42"/>
      <c r="N285" s="42"/>
      <c r="O285" s="42"/>
      <c r="P285" s="42"/>
      <c r="Q285" s="58"/>
      <c r="R285" s="42"/>
      <c r="S285" s="42"/>
      <c r="T285" s="168"/>
    </row>
    <row r="286" spans="1:23" hidden="1" x14ac:dyDescent="0.25">
      <c r="A286" s="61"/>
      <c r="B286" s="51" t="s">
        <v>27</v>
      </c>
      <c r="C286" s="42"/>
      <c r="D286" s="42"/>
      <c r="E286" s="42"/>
      <c r="F286" s="42">
        <f t="shared" si="263"/>
        <v>0</v>
      </c>
      <c r="G286" s="42"/>
      <c r="H286" s="62">
        <v>13347.1</v>
      </c>
      <c r="I286" s="63"/>
      <c r="J286" s="42"/>
      <c r="K286" s="42"/>
      <c r="L286" s="42"/>
      <c r="M286" s="42"/>
      <c r="N286" s="42"/>
      <c r="O286" s="42"/>
      <c r="P286" s="42"/>
      <c r="Q286" s="58"/>
      <c r="R286" s="42"/>
      <c r="S286" s="42"/>
      <c r="T286" s="168"/>
    </row>
    <row r="287" spans="1:23" x14ac:dyDescent="0.25">
      <c r="A287" s="61"/>
      <c r="B287" s="51" t="s">
        <v>289</v>
      </c>
      <c r="C287" s="42">
        <v>10</v>
      </c>
      <c r="D287" s="42">
        <v>168508</v>
      </c>
      <c r="E287" s="42">
        <f t="shared" ref="E287" si="275">C287*D287</f>
        <v>1685080</v>
      </c>
      <c r="F287" s="42">
        <f t="shared" si="263"/>
        <v>59483</v>
      </c>
      <c r="G287" s="42">
        <f t="shared" ref="G287" si="276">C287*F287</f>
        <v>594830</v>
      </c>
      <c r="H287" s="62">
        <v>13347.1</v>
      </c>
      <c r="I287" s="63">
        <v>1.6</v>
      </c>
      <c r="J287" s="42">
        <f t="shared" ref="J287" si="277">H287*I287</f>
        <v>21355.360000000001</v>
      </c>
      <c r="K287" s="42">
        <f t="shared" ref="K287" si="278">ROUND(C287*J287,0)</f>
        <v>213554</v>
      </c>
      <c r="L287" s="42"/>
      <c r="M287" s="42"/>
      <c r="N287" s="42"/>
      <c r="O287" s="42"/>
      <c r="P287" s="42">
        <f t="shared" ref="P287" si="279">D287+F287+J287+N287</f>
        <v>249346.36</v>
      </c>
      <c r="Q287" s="58"/>
      <c r="R287" s="42">
        <f t="shared" ref="R287" si="280">E287+G287+K287+O287</f>
        <v>2493464</v>
      </c>
      <c r="S287" s="42"/>
      <c r="T287" s="168"/>
    </row>
    <row r="288" spans="1:23" hidden="1" x14ac:dyDescent="0.25">
      <c r="A288" s="61"/>
      <c r="B288" s="51" t="s">
        <v>29</v>
      </c>
      <c r="C288" s="42"/>
      <c r="D288" s="42"/>
      <c r="E288" s="42"/>
      <c r="F288" s="42">
        <f t="shared" si="263"/>
        <v>0</v>
      </c>
      <c r="G288" s="42"/>
      <c r="H288" s="62">
        <v>13347.1</v>
      </c>
      <c r="I288" s="63"/>
      <c r="J288" s="42"/>
      <c r="K288" s="42"/>
      <c r="L288" s="42"/>
      <c r="M288" s="42"/>
      <c r="N288" s="42"/>
      <c r="O288" s="42"/>
      <c r="P288" s="42"/>
      <c r="Q288" s="58"/>
      <c r="R288" s="42"/>
      <c r="S288" s="42"/>
      <c r="T288" s="168"/>
    </row>
    <row r="289" spans="1:23" ht="51.75" x14ac:dyDescent="0.25">
      <c r="A289" s="61" t="s">
        <v>147</v>
      </c>
      <c r="B289" s="51" t="s">
        <v>49</v>
      </c>
      <c r="C289" s="42"/>
      <c r="D289" s="42"/>
      <c r="E289" s="42"/>
      <c r="F289" s="42">
        <f t="shared" si="263"/>
        <v>0</v>
      </c>
      <c r="G289" s="42"/>
      <c r="H289" s="62"/>
      <c r="I289" s="63"/>
      <c r="J289" s="42"/>
      <c r="K289" s="42"/>
      <c r="L289" s="42"/>
      <c r="M289" s="42"/>
      <c r="N289" s="42"/>
      <c r="O289" s="42"/>
      <c r="P289" s="42"/>
      <c r="Q289" s="58"/>
      <c r="R289" s="42"/>
      <c r="S289" s="42"/>
      <c r="T289" s="168"/>
    </row>
    <row r="290" spans="1:23" hidden="1" x14ac:dyDescent="0.25">
      <c r="A290" s="61"/>
      <c r="B290" s="51" t="s">
        <v>27</v>
      </c>
      <c r="C290" s="42"/>
      <c r="D290" s="42"/>
      <c r="E290" s="42"/>
      <c r="F290" s="42">
        <f t="shared" si="263"/>
        <v>0</v>
      </c>
      <c r="G290" s="42"/>
      <c r="H290" s="62">
        <v>13347.1</v>
      </c>
      <c r="I290" s="63"/>
      <c r="J290" s="42"/>
      <c r="K290" s="42"/>
      <c r="L290" s="42"/>
      <c r="M290" s="42"/>
      <c r="N290" s="42"/>
      <c r="O290" s="42"/>
      <c r="P290" s="42"/>
      <c r="Q290" s="58"/>
      <c r="R290" s="42"/>
      <c r="S290" s="42"/>
      <c r="T290" s="168"/>
    </row>
    <row r="291" spans="1:23" x14ac:dyDescent="0.25">
      <c r="A291" s="61"/>
      <c r="B291" s="51" t="s">
        <v>28</v>
      </c>
      <c r="C291" s="42">
        <v>20</v>
      </c>
      <c r="D291" s="42">
        <v>168508</v>
      </c>
      <c r="E291" s="42">
        <f t="shared" ref="E291:E292" si="281">C291*D291</f>
        <v>3370160</v>
      </c>
      <c r="F291" s="42">
        <f t="shared" si="263"/>
        <v>59483</v>
      </c>
      <c r="G291" s="42">
        <f t="shared" ref="G291" si="282">C291*F291</f>
        <v>1189660</v>
      </c>
      <c r="H291" s="62">
        <v>13347.1</v>
      </c>
      <c r="I291" s="63">
        <v>1.6</v>
      </c>
      <c r="J291" s="42">
        <f t="shared" ref="J291" si="283">H291*I291</f>
        <v>21355.360000000001</v>
      </c>
      <c r="K291" s="42">
        <f t="shared" ref="K291" si="284">ROUND(C291*J291,0)</f>
        <v>427107</v>
      </c>
      <c r="L291" s="42"/>
      <c r="M291" s="42"/>
      <c r="N291" s="42"/>
      <c r="O291" s="42"/>
      <c r="P291" s="42">
        <f t="shared" ref="P291:P293" si="285">D291+F291+J291+N291</f>
        <v>249346.36</v>
      </c>
      <c r="Q291" s="58"/>
      <c r="R291" s="42">
        <f t="shared" ref="R291:R293" si="286">E291+G291+K291+O291</f>
        <v>4986927</v>
      </c>
      <c r="S291" s="42"/>
      <c r="T291" s="168"/>
    </row>
    <row r="292" spans="1:23" x14ac:dyDescent="0.25">
      <c r="A292" s="61"/>
      <c r="B292" s="51" t="s">
        <v>289</v>
      </c>
      <c r="C292" s="42">
        <v>20</v>
      </c>
      <c r="D292" s="42">
        <v>168508</v>
      </c>
      <c r="E292" s="42">
        <f t="shared" si="281"/>
        <v>3370160</v>
      </c>
      <c r="F292" s="42">
        <f t="shared" si="263"/>
        <v>59483</v>
      </c>
      <c r="G292" s="42">
        <f t="shared" ref="G292" si="287">C292*F292</f>
        <v>1189660</v>
      </c>
      <c r="H292" s="62">
        <v>13347.1</v>
      </c>
      <c r="I292" s="63">
        <v>1.6</v>
      </c>
      <c r="J292" s="42">
        <f t="shared" ref="J292" si="288">H292*I292</f>
        <v>21355.360000000001</v>
      </c>
      <c r="K292" s="42">
        <f>ROUND(C292*J292,0)+129495</f>
        <v>556602</v>
      </c>
      <c r="L292" s="42"/>
      <c r="M292" s="42"/>
      <c r="N292" s="42"/>
      <c r="O292" s="42"/>
      <c r="P292" s="42">
        <f t="shared" si="285"/>
        <v>249346.36</v>
      </c>
      <c r="Q292" s="58"/>
      <c r="R292" s="42">
        <f t="shared" si="286"/>
        <v>5116422</v>
      </c>
      <c r="S292" s="42"/>
      <c r="T292" s="168"/>
    </row>
    <row r="293" spans="1:23" x14ac:dyDescent="0.25">
      <c r="A293" s="61" t="s">
        <v>148</v>
      </c>
      <c r="B293" s="51" t="s">
        <v>13</v>
      </c>
      <c r="C293" s="42">
        <v>198</v>
      </c>
      <c r="D293" s="42"/>
      <c r="E293" s="42"/>
      <c r="F293" s="42"/>
      <c r="G293" s="42"/>
      <c r="H293" s="62"/>
      <c r="I293" s="63"/>
      <c r="J293" s="42"/>
      <c r="K293" s="42"/>
      <c r="L293" s="63">
        <v>3605.27</v>
      </c>
      <c r="M293" s="63">
        <v>1.5649999999999999</v>
      </c>
      <c r="N293" s="42">
        <f t="shared" ref="N293" si="289">L293*M293</f>
        <v>5642.24755</v>
      </c>
      <c r="O293" s="42">
        <f>ROUND(C293*N293,0)</f>
        <v>1117165</v>
      </c>
      <c r="P293" s="42">
        <f t="shared" si="285"/>
        <v>5642.24755</v>
      </c>
      <c r="Q293" s="58"/>
      <c r="R293" s="42">
        <f t="shared" si="286"/>
        <v>1117165</v>
      </c>
      <c r="S293" s="42"/>
      <c r="T293" s="168"/>
    </row>
    <row r="294" spans="1:23" s="60" customFormat="1" hidden="1" x14ac:dyDescent="0.25">
      <c r="A294" s="56"/>
      <c r="B294" s="51" t="s">
        <v>27</v>
      </c>
      <c r="C294" s="58"/>
      <c r="D294" s="58"/>
      <c r="E294" s="58"/>
      <c r="F294" s="42"/>
      <c r="G294" s="58"/>
      <c r="H294" s="42"/>
      <c r="I294" s="58"/>
      <c r="J294" s="42"/>
      <c r="K294" s="42"/>
      <c r="L294" s="42"/>
      <c r="M294" s="42"/>
      <c r="N294" s="42"/>
      <c r="O294" s="42"/>
      <c r="P294" s="42"/>
      <c r="Q294" s="58"/>
      <c r="R294" s="42"/>
      <c r="S294" s="58"/>
      <c r="T294" s="168"/>
      <c r="U294" s="68"/>
      <c r="V294" s="66"/>
      <c r="W294" s="66"/>
    </row>
    <row r="295" spans="1:23" hidden="1" x14ac:dyDescent="0.25">
      <c r="A295" s="61"/>
      <c r="B295" s="51" t="s">
        <v>28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58"/>
      <c r="R295" s="42"/>
      <c r="S295" s="42"/>
      <c r="T295" s="168"/>
    </row>
    <row r="296" spans="1:23" hidden="1" x14ac:dyDescent="0.25">
      <c r="A296" s="61"/>
      <c r="B296" s="51" t="s">
        <v>29</v>
      </c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58"/>
      <c r="R296" s="42"/>
      <c r="S296" s="42"/>
      <c r="T296" s="168"/>
    </row>
    <row r="297" spans="1:23" x14ac:dyDescent="0.25">
      <c r="A297" s="85"/>
      <c r="B297" s="86" t="s">
        <v>315</v>
      </c>
      <c r="C297" s="75">
        <f>C278+C279+C280+C282+C283+C284+C287+C291+C292</f>
        <v>198</v>
      </c>
      <c r="D297" s="75"/>
      <c r="E297" s="75">
        <f>E278+E279+E280+E282+E283+E284+E287+E291+E292+E293</f>
        <v>15792000</v>
      </c>
      <c r="F297" s="75"/>
      <c r="G297" s="75">
        <f>G278+G279+G280+G282+G283+G284+G287+G291+G292+G293</f>
        <v>5538979</v>
      </c>
      <c r="H297" s="75"/>
      <c r="I297" s="75"/>
      <c r="J297" s="75"/>
      <c r="K297" s="75">
        <f t="shared" ref="K297" si="290">K278+K279+K280+K282+K283+K284+K287+K291+K292+K293</f>
        <v>4357856</v>
      </c>
      <c r="L297" s="75"/>
      <c r="M297" s="75"/>
      <c r="N297" s="75"/>
      <c r="O297" s="75">
        <f t="shared" ref="O297" si="291">O278+O279+O280+O282+O283+O284+O287+O291+O292+O293</f>
        <v>1117165</v>
      </c>
      <c r="P297" s="75"/>
      <c r="Q297" s="75"/>
      <c r="R297" s="75">
        <f t="shared" ref="R297" si="292">R278+R279+R280+R282+R283+R284+R287+R291+R292+R293</f>
        <v>26806000</v>
      </c>
      <c r="S297" s="75">
        <v>305000</v>
      </c>
      <c r="T297" s="170">
        <f>R297+S297</f>
        <v>27111000</v>
      </c>
      <c r="U297" s="180"/>
      <c r="V297" s="180"/>
    </row>
    <row r="298" spans="1:23" s="60" customFormat="1" x14ac:dyDescent="0.25">
      <c r="A298" s="56">
        <v>17</v>
      </c>
      <c r="B298" s="57" t="s">
        <v>270</v>
      </c>
      <c r="C298" s="58"/>
      <c r="D298" s="58"/>
      <c r="E298" s="58"/>
      <c r="F298" s="58"/>
      <c r="G298" s="58"/>
      <c r="H298" s="58"/>
      <c r="I298" s="58"/>
      <c r="J298" s="42"/>
      <c r="K298" s="58"/>
      <c r="L298" s="58"/>
      <c r="M298" s="76"/>
      <c r="N298" s="58"/>
      <c r="O298" s="58"/>
      <c r="P298" s="42"/>
      <c r="Q298" s="58"/>
      <c r="R298" s="58"/>
      <c r="S298" s="58"/>
      <c r="T298" s="168"/>
      <c r="U298" s="68"/>
      <c r="V298" s="66"/>
      <c r="W298" s="66"/>
    </row>
    <row r="299" spans="1:23" ht="39" x14ac:dyDescent="0.25">
      <c r="A299" s="61" t="s">
        <v>149</v>
      </c>
      <c r="B299" s="51" t="s">
        <v>44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58"/>
      <c r="R299" s="42"/>
      <c r="S299" s="42"/>
      <c r="T299" s="168"/>
    </row>
    <row r="300" spans="1:23" hidden="1" x14ac:dyDescent="0.25">
      <c r="A300" s="61"/>
      <c r="B300" s="51" t="s">
        <v>287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58"/>
      <c r="R300" s="42"/>
      <c r="S300" s="42"/>
      <c r="T300" s="168"/>
    </row>
    <row r="301" spans="1:23" x14ac:dyDescent="0.25">
      <c r="A301" s="61"/>
      <c r="B301" s="51" t="s">
        <v>28</v>
      </c>
      <c r="C301" s="42">
        <v>10</v>
      </c>
      <c r="D301" s="42">
        <v>46539</v>
      </c>
      <c r="E301" s="42">
        <f>C301*D301+33695</f>
        <v>499085</v>
      </c>
      <c r="F301" s="42">
        <f t="shared" ref="F301:F306" si="293">ROUND(D301*35.3%,0)</f>
        <v>16428</v>
      </c>
      <c r="G301" s="42">
        <f>C301*F301</f>
        <v>164280</v>
      </c>
      <c r="H301" s="62">
        <v>13347.1</v>
      </c>
      <c r="I301" s="63">
        <v>1.6950000000000001</v>
      </c>
      <c r="J301" s="42">
        <f t="shared" ref="J301" si="294">H301*I301</f>
        <v>22623.334500000001</v>
      </c>
      <c r="K301" s="42">
        <f>ROUND(C301*J301,0)+16558</f>
        <v>242791</v>
      </c>
      <c r="L301" s="42"/>
      <c r="M301" s="42"/>
      <c r="N301" s="42"/>
      <c r="O301" s="42"/>
      <c r="P301" s="42">
        <f t="shared" ref="P301:P307" si="295">D301+F301+J301+N301</f>
        <v>85590.334499999997</v>
      </c>
      <c r="Q301" s="58"/>
      <c r="R301" s="42">
        <f t="shared" ref="R301:R307" si="296">E301+G301+K301+O301</f>
        <v>906156</v>
      </c>
      <c r="S301" s="42"/>
      <c r="T301" s="168"/>
    </row>
    <row r="302" spans="1:23" x14ac:dyDescent="0.25">
      <c r="A302" s="61"/>
      <c r="B302" s="51" t="s">
        <v>289</v>
      </c>
      <c r="C302" s="42">
        <v>7</v>
      </c>
      <c r="D302" s="42">
        <v>46539</v>
      </c>
      <c r="E302" s="42">
        <f t="shared" ref="E302:E306" si="297">C302*D302</f>
        <v>325773</v>
      </c>
      <c r="F302" s="42">
        <f t="shared" si="293"/>
        <v>16428</v>
      </c>
      <c r="G302" s="42">
        <f t="shared" ref="G302" si="298">C302*F302</f>
        <v>114996</v>
      </c>
      <c r="H302" s="62">
        <v>13347.1</v>
      </c>
      <c r="I302" s="63">
        <v>1.6950000000000001</v>
      </c>
      <c r="J302" s="42">
        <f t="shared" ref="J302" si="299">H302*I302</f>
        <v>22623.334500000001</v>
      </c>
      <c r="K302" s="42">
        <f t="shared" ref="K302" si="300">ROUND(C302*J302,0)</f>
        <v>158363</v>
      </c>
      <c r="L302" s="42"/>
      <c r="M302" s="42"/>
      <c r="N302" s="42"/>
      <c r="O302" s="42"/>
      <c r="P302" s="42">
        <f t="shared" si="295"/>
        <v>85590.334499999997</v>
      </c>
      <c r="Q302" s="58"/>
      <c r="R302" s="42">
        <f t="shared" si="296"/>
        <v>599132</v>
      </c>
      <c r="S302" s="42"/>
      <c r="T302" s="168"/>
    </row>
    <row r="303" spans="1:23" ht="39" x14ac:dyDescent="0.25">
      <c r="A303" s="61" t="s">
        <v>150</v>
      </c>
      <c r="B303" s="51" t="s">
        <v>45</v>
      </c>
      <c r="C303" s="42"/>
      <c r="D303" s="42"/>
      <c r="E303" s="42"/>
      <c r="F303" s="42">
        <f t="shared" si="293"/>
        <v>0</v>
      </c>
      <c r="G303" s="42"/>
      <c r="H303" s="62"/>
      <c r="I303" s="42"/>
      <c r="J303" s="42"/>
      <c r="K303" s="42"/>
      <c r="L303" s="42"/>
      <c r="M303" s="42"/>
      <c r="N303" s="42"/>
      <c r="O303" s="42"/>
      <c r="P303" s="42"/>
      <c r="Q303" s="58"/>
      <c r="R303" s="42"/>
      <c r="S303" s="42"/>
      <c r="T303" s="168"/>
    </row>
    <row r="304" spans="1:23" x14ac:dyDescent="0.25">
      <c r="A304" s="61"/>
      <c r="B304" s="51" t="s">
        <v>287</v>
      </c>
      <c r="C304" s="42">
        <v>15</v>
      </c>
      <c r="D304" s="42">
        <v>67868</v>
      </c>
      <c r="E304" s="42">
        <f t="shared" si="297"/>
        <v>1018020</v>
      </c>
      <c r="F304" s="42">
        <f t="shared" si="293"/>
        <v>23957</v>
      </c>
      <c r="G304" s="42">
        <f t="shared" ref="G304" si="301">C304*F304</f>
        <v>359355</v>
      </c>
      <c r="H304" s="62">
        <v>13347.1</v>
      </c>
      <c r="I304" s="63">
        <v>1.6950000000000001</v>
      </c>
      <c r="J304" s="42">
        <f t="shared" ref="J304" si="302">H304*I304</f>
        <v>22623.334500000001</v>
      </c>
      <c r="K304" s="42">
        <f t="shared" ref="K304" si="303">ROUND(C304*J304,0)</f>
        <v>339350</v>
      </c>
      <c r="L304" s="42"/>
      <c r="M304" s="42"/>
      <c r="N304" s="42"/>
      <c r="O304" s="42"/>
      <c r="P304" s="42">
        <f t="shared" si="295"/>
        <v>114448.3345</v>
      </c>
      <c r="Q304" s="58"/>
      <c r="R304" s="42">
        <f t="shared" si="296"/>
        <v>1716725</v>
      </c>
      <c r="S304" s="42"/>
      <c r="T304" s="168"/>
    </row>
    <row r="305" spans="1:23" x14ac:dyDescent="0.25">
      <c r="A305" s="61"/>
      <c r="B305" s="51" t="s">
        <v>28</v>
      </c>
      <c r="C305" s="42">
        <v>60</v>
      </c>
      <c r="D305" s="42">
        <v>40721</v>
      </c>
      <c r="E305" s="42">
        <f t="shared" si="297"/>
        <v>2443260</v>
      </c>
      <c r="F305" s="42">
        <f t="shared" si="293"/>
        <v>14375</v>
      </c>
      <c r="G305" s="42">
        <f t="shared" ref="G305:G306" si="304">C305*F305</f>
        <v>862500</v>
      </c>
      <c r="H305" s="62">
        <v>13347.1</v>
      </c>
      <c r="I305" s="63">
        <v>1.6950000000000001</v>
      </c>
      <c r="J305" s="42">
        <f t="shared" ref="J305:J306" si="305">H305*I305</f>
        <v>22623.334500000001</v>
      </c>
      <c r="K305" s="42">
        <f t="shared" ref="K305" si="306">ROUND(C305*J305,0)</f>
        <v>1357400</v>
      </c>
      <c r="L305" s="42"/>
      <c r="M305" s="42"/>
      <c r="N305" s="42"/>
      <c r="O305" s="42"/>
      <c r="P305" s="42">
        <f t="shared" si="295"/>
        <v>77719.334499999997</v>
      </c>
      <c r="Q305" s="58"/>
      <c r="R305" s="42">
        <f t="shared" si="296"/>
        <v>4663160</v>
      </c>
      <c r="S305" s="42"/>
      <c r="T305" s="168"/>
    </row>
    <row r="306" spans="1:23" x14ac:dyDescent="0.25">
      <c r="A306" s="61"/>
      <c r="B306" s="51" t="s">
        <v>289</v>
      </c>
      <c r="C306" s="42">
        <v>22</v>
      </c>
      <c r="D306" s="42">
        <v>40721</v>
      </c>
      <c r="E306" s="42">
        <f t="shared" si="297"/>
        <v>895862</v>
      </c>
      <c r="F306" s="42">
        <f t="shared" si="293"/>
        <v>14375</v>
      </c>
      <c r="G306" s="42">
        <f t="shared" si="304"/>
        <v>316250</v>
      </c>
      <c r="H306" s="62">
        <v>13347.1</v>
      </c>
      <c r="I306" s="63">
        <v>1.6950000000000001</v>
      </c>
      <c r="J306" s="42">
        <f t="shared" si="305"/>
        <v>22623.334500000001</v>
      </c>
      <c r="K306" s="42">
        <f>ROUND(C306*J306,0)+62996</f>
        <v>560709</v>
      </c>
      <c r="L306" s="42"/>
      <c r="M306" s="42"/>
      <c r="N306" s="42"/>
      <c r="O306" s="42"/>
      <c r="P306" s="42">
        <f t="shared" si="295"/>
        <v>77719.334499999997</v>
      </c>
      <c r="Q306" s="58"/>
      <c r="R306" s="42">
        <f t="shared" si="296"/>
        <v>1772821</v>
      </c>
      <c r="S306" s="42"/>
      <c r="T306" s="168"/>
    </row>
    <row r="307" spans="1:23" x14ac:dyDescent="0.25">
      <c r="A307" s="61" t="s">
        <v>151</v>
      </c>
      <c r="B307" s="51" t="s">
        <v>13</v>
      </c>
      <c r="C307" s="42">
        <v>114</v>
      </c>
      <c r="D307" s="42"/>
      <c r="E307" s="42"/>
      <c r="F307" s="42"/>
      <c r="G307" s="42"/>
      <c r="H307" s="42"/>
      <c r="I307" s="42"/>
      <c r="J307" s="42"/>
      <c r="K307" s="42"/>
      <c r="L307" s="63">
        <v>3605.27</v>
      </c>
      <c r="M307" s="63">
        <v>1.4550000000000001</v>
      </c>
      <c r="N307" s="42">
        <f t="shared" ref="N307" si="307">L307*M307</f>
        <v>5245.6678499999998</v>
      </c>
      <c r="O307" s="42">
        <f>ROUND(C307*N307,0)</f>
        <v>598006</v>
      </c>
      <c r="P307" s="42">
        <f t="shared" si="295"/>
        <v>5245.6678499999998</v>
      </c>
      <c r="Q307" s="58"/>
      <c r="R307" s="42">
        <f t="shared" si="296"/>
        <v>598006</v>
      </c>
      <c r="S307" s="42"/>
      <c r="T307" s="168"/>
    </row>
    <row r="308" spans="1:23" s="60" customFormat="1" hidden="1" x14ac:dyDescent="0.25">
      <c r="A308" s="56"/>
      <c r="B308" s="51" t="s">
        <v>27</v>
      </c>
      <c r="C308" s="58"/>
      <c r="D308" s="58"/>
      <c r="E308" s="58"/>
      <c r="F308" s="42"/>
      <c r="G308" s="58"/>
      <c r="H308" s="42"/>
      <c r="I308" s="58"/>
      <c r="J308" s="42"/>
      <c r="K308" s="42"/>
      <c r="L308" s="42"/>
      <c r="M308" s="42"/>
      <c r="N308" s="42"/>
      <c r="O308" s="42"/>
      <c r="P308" s="42"/>
      <c r="Q308" s="58"/>
      <c r="R308" s="42"/>
      <c r="S308" s="58"/>
      <c r="T308" s="168"/>
      <c r="U308" s="68"/>
      <c r="V308" s="66"/>
      <c r="W308" s="66"/>
    </row>
    <row r="309" spans="1:23" hidden="1" x14ac:dyDescent="0.25">
      <c r="A309" s="61"/>
      <c r="B309" s="51" t="s">
        <v>28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58"/>
      <c r="R309" s="42"/>
      <c r="S309" s="42"/>
      <c r="T309" s="168"/>
    </row>
    <row r="310" spans="1:23" hidden="1" x14ac:dyDescent="0.25">
      <c r="A310" s="61"/>
      <c r="B310" s="51" t="s">
        <v>29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58"/>
      <c r="R310" s="42"/>
      <c r="S310" s="42"/>
      <c r="T310" s="168"/>
    </row>
    <row r="311" spans="1:23" x14ac:dyDescent="0.25">
      <c r="A311" s="85"/>
      <c r="B311" s="86" t="s">
        <v>315</v>
      </c>
      <c r="C311" s="75">
        <f>C301+C302+C304+C305+C306</f>
        <v>114</v>
      </c>
      <c r="D311" s="75"/>
      <c r="E311" s="75">
        <f>E301+E302+E304+E305+E306+E307</f>
        <v>5182000</v>
      </c>
      <c r="F311" s="75"/>
      <c r="G311" s="75">
        <f>G301+G302+G304+G305+G306+G307</f>
        <v>1817381</v>
      </c>
      <c r="H311" s="75"/>
      <c r="I311" s="75"/>
      <c r="J311" s="75"/>
      <c r="K311" s="75">
        <f>K301+K302+K304+K305+K306+K307</f>
        <v>2658613</v>
      </c>
      <c r="L311" s="75"/>
      <c r="M311" s="75"/>
      <c r="N311" s="75"/>
      <c r="O311" s="75">
        <f>O301+O302+O304+O305+O306+O307</f>
        <v>598006</v>
      </c>
      <c r="P311" s="75"/>
      <c r="Q311" s="75"/>
      <c r="R311" s="75">
        <f>R301+R302+R304+R305+R306+R307</f>
        <v>10256000</v>
      </c>
      <c r="S311" s="75">
        <v>86000</v>
      </c>
      <c r="T311" s="170">
        <f>R311+S311</f>
        <v>10342000</v>
      </c>
      <c r="U311" s="180"/>
      <c r="V311" s="180"/>
    </row>
    <row r="312" spans="1:23" x14ac:dyDescent="0.25">
      <c r="A312" s="85"/>
      <c r="B312" s="86" t="s">
        <v>335</v>
      </c>
      <c r="C312" s="75">
        <f>C311+C297+C275+C261+C243+C221+C195+C177+C155+C137+C119+C100+C82+C68+C54+C40+C23</f>
        <v>3539</v>
      </c>
      <c r="D312" s="75"/>
      <c r="E312" s="75">
        <f>E311+E297+E275+E261+E243+E221+E195+E177+E155+E137+E119+E100+E82+E68+E54+E40+E23</f>
        <v>186364100</v>
      </c>
      <c r="F312" s="75"/>
      <c r="G312" s="75">
        <f>G311+G297+G275+G261+G243+G221+G195+G177+G155+G137+G119+G100+G82+G68+G54+G40+G23</f>
        <v>65320859</v>
      </c>
      <c r="H312" s="75"/>
      <c r="I312" s="75"/>
      <c r="J312" s="75"/>
      <c r="K312" s="75">
        <f>K311+K297+K275+K261+K243+K221+K195+K177+K155+K137+K119+K100+K82+K68+K54+K40+K23</f>
        <v>70107909</v>
      </c>
      <c r="L312" s="75"/>
      <c r="M312" s="75"/>
      <c r="N312" s="75"/>
      <c r="O312" s="75">
        <f>O311+O297+O275+O261+O243+O221+O195+O177+O155+O137+O119+O100+O82+O68+O54+O40+O23</f>
        <v>18689647</v>
      </c>
      <c r="P312" s="75"/>
      <c r="Q312" s="75"/>
      <c r="R312" s="75">
        <f>R311+R297+R275+R261+R243+R221+R195+R177+R155+R137+R119+R100+R82+R68+R54+R40+R23</f>
        <v>340947500</v>
      </c>
      <c r="S312" s="75">
        <f>S311+S297+S275+S261+S243+S221+S195+S177+S155+S137+S119+S100+S82+S68+S54+S40+S23</f>
        <v>3723000</v>
      </c>
      <c r="T312" s="170">
        <f>T311+T297+T275+T261+T243+T221+T195+T177+T155+T137+T119+T100+T82+T68+T54+T40+T23</f>
        <v>344670500</v>
      </c>
      <c r="U312" s="184"/>
      <c r="V312" s="180"/>
    </row>
    <row r="313" spans="1:23" s="60" customFormat="1" x14ac:dyDescent="0.25">
      <c r="A313" s="56"/>
      <c r="B313" s="64"/>
      <c r="C313" s="58"/>
      <c r="D313" s="58"/>
      <c r="E313" s="58"/>
      <c r="F313" s="58"/>
      <c r="G313" s="58"/>
      <c r="H313" s="58"/>
      <c r="I313" s="58"/>
      <c r="J313" s="42"/>
      <c r="K313" s="58"/>
      <c r="L313" s="58"/>
      <c r="M313" s="58"/>
      <c r="N313" s="58"/>
      <c r="O313" s="58"/>
      <c r="P313" s="42"/>
      <c r="Q313" s="58"/>
      <c r="R313" s="58"/>
      <c r="S313" s="58"/>
      <c r="T313" s="168"/>
      <c r="U313" s="68"/>
      <c r="V313" s="66"/>
      <c r="W313" s="66"/>
    </row>
    <row r="314" spans="1:23" ht="39" hidden="1" x14ac:dyDescent="0.25">
      <c r="A314" s="61">
        <v>1</v>
      </c>
      <c r="B314" s="51" t="s">
        <v>44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58"/>
      <c r="R314" s="42"/>
      <c r="S314" s="42"/>
      <c r="T314" s="168"/>
    </row>
    <row r="315" spans="1:23" hidden="1" x14ac:dyDescent="0.25">
      <c r="A315" s="61"/>
      <c r="B315" s="51" t="s">
        <v>287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58"/>
      <c r="R315" s="42"/>
      <c r="S315" s="42"/>
      <c r="T315" s="168"/>
    </row>
    <row r="316" spans="1:23" hidden="1" x14ac:dyDescent="0.25">
      <c r="A316" s="61"/>
      <c r="B316" s="51" t="s">
        <v>28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58"/>
      <c r="R316" s="42"/>
      <c r="S316" s="42"/>
      <c r="T316" s="168"/>
    </row>
    <row r="317" spans="1:23" hidden="1" x14ac:dyDescent="0.25">
      <c r="A317" s="61"/>
      <c r="B317" s="51" t="s">
        <v>289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58"/>
      <c r="R317" s="42"/>
      <c r="S317" s="42"/>
      <c r="T317" s="168"/>
    </row>
    <row r="318" spans="1:23" ht="39" hidden="1" x14ac:dyDescent="0.25">
      <c r="A318" s="61">
        <v>2</v>
      </c>
      <c r="B318" s="51" t="s">
        <v>45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58"/>
      <c r="R318" s="42"/>
      <c r="S318" s="42"/>
      <c r="T318" s="168"/>
    </row>
    <row r="319" spans="1:23" hidden="1" x14ac:dyDescent="0.25">
      <c r="A319" s="61"/>
      <c r="B319" s="51" t="s">
        <v>287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58"/>
      <c r="R319" s="42"/>
      <c r="S319" s="42"/>
      <c r="T319" s="168"/>
    </row>
    <row r="320" spans="1:23" hidden="1" x14ac:dyDescent="0.25">
      <c r="A320" s="61"/>
      <c r="B320" s="51" t="s">
        <v>28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58"/>
      <c r="R320" s="42"/>
      <c r="S320" s="42"/>
      <c r="T320" s="168"/>
    </row>
    <row r="321" spans="1:20" hidden="1" x14ac:dyDescent="0.25">
      <c r="A321" s="61"/>
      <c r="B321" s="51" t="s">
        <v>289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58"/>
      <c r="R321" s="42"/>
      <c r="S321" s="42"/>
      <c r="T321" s="168"/>
    </row>
    <row r="322" spans="1:20" ht="51.75" hidden="1" x14ac:dyDescent="0.25">
      <c r="A322" s="61">
        <v>3</v>
      </c>
      <c r="B322" s="51" t="s">
        <v>66</v>
      </c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58"/>
      <c r="R322" s="42"/>
      <c r="S322" s="42"/>
      <c r="T322" s="168"/>
    </row>
    <row r="323" spans="1:20" hidden="1" x14ac:dyDescent="0.25">
      <c r="A323" s="61"/>
      <c r="B323" s="51" t="s">
        <v>287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58"/>
      <c r="R323" s="42"/>
      <c r="S323" s="42"/>
      <c r="T323" s="168"/>
    </row>
    <row r="324" spans="1:20" hidden="1" x14ac:dyDescent="0.25">
      <c r="A324" s="61"/>
      <c r="B324" s="51" t="s">
        <v>28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58"/>
      <c r="R324" s="42"/>
      <c r="S324" s="42"/>
      <c r="T324" s="168"/>
    </row>
    <row r="325" spans="1:20" hidden="1" x14ac:dyDescent="0.25">
      <c r="A325" s="61"/>
      <c r="B325" s="51" t="s">
        <v>29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58"/>
      <c r="R325" s="42"/>
      <c r="S325" s="42"/>
      <c r="T325" s="168"/>
    </row>
    <row r="326" spans="1:20" ht="51.75" hidden="1" x14ac:dyDescent="0.25">
      <c r="A326" s="61">
        <v>4</v>
      </c>
      <c r="B326" s="51" t="s">
        <v>65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58"/>
      <c r="R326" s="42"/>
      <c r="S326" s="42"/>
      <c r="T326" s="168"/>
    </row>
    <row r="327" spans="1:20" hidden="1" x14ac:dyDescent="0.25">
      <c r="A327" s="61"/>
      <c r="B327" s="51" t="s">
        <v>27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58"/>
      <c r="R327" s="42"/>
      <c r="S327" s="42"/>
      <c r="T327" s="168"/>
    </row>
    <row r="328" spans="1:20" hidden="1" x14ac:dyDescent="0.25">
      <c r="A328" s="61"/>
      <c r="B328" s="51" t="s">
        <v>28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58"/>
      <c r="R328" s="42"/>
      <c r="S328" s="42"/>
      <c r="T328" s="168"/>
    </row>
    <row r="329" spans="1:20" hidden="1" x14ac:dyDescent="0.25">
      <c r="A329" s="61"/>
      <c r="B329" s="51" t="s">
        <v>29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58"/>
      <c r="R329" s="42"/>
      <c r="S329" s="42"/>
      <c r="T329" s="168"/>
    </row>
    <row r="330" spans="1:20" ht="51.75" hidden="1" x14ac:dyDescent="0.25">
      <c r="A330" s="61">
        <v>5</v>
      </c>
      <c r="B330" s="51" t="s">
        <v>67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58"/>
      <c r="R330" s="42"/>
      <c r="S330" s="42"/>
      <c r="T330" s="168"/>
    </row>
    <row r="331" spans="1:20" hidden="1" x14ac:dyDescent="0.25">
      <c r="A331" s="61"/>
      <c r="B331" s="51" t="s">
        <v>27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58"/>
      <c r="R331" s="42"/>
      <c r="S331" s="42"/>
      <c r="T331" s="168"/>
    </row>
    <row r="332" spans="1:20" hidden="1" x14ac:dyDescent="0.25">
      <c r="A332" s="61"/>
      <c r="B332" s="51" t="s">
        <v>28</v>
      </c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58"/>
      <c r="R332" s="42"/>
      <c r="S332" s="42"/>
      <c r="T332" s="168"/>
    </row>
    <row r="333" spans="1:20" hidden="1" x14ac:dyDescent="0.25">
      <c r="A333" s="61"/>
      <c r="B333" s="51" t="s">
        <v>289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58"/>
      <c r="R333" s="42"/>
      <c r="S333" s="42"/>
      <c r="T333" s="168"/>
    </row>
    <row r="334" spans="1:20" ht="39" hidden="1" x14ac:dyDescent="0.25">
      <c r="A334" s="61">
        <v>6</v>
      </c>
      <c r="B334" s="51" t="s">
        <v>30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58"/>
      <c r="R334" s="42"/>
      <c r="S334" s="42"/>
      <c r="T334" s="168"/>
    </row>
    <row r="335" spans="1:20" hidden="1" x14ac:dyDescent="0.25">
      <c r="A335" s="61"/>
      <c r="B335" s="51" t="s">
        <v>27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58"/>
      <c r="R335" s="42"/>
      <c r="S335" s="42"/>
      <c r="T335" s="168"/>
    </row>
    <row r="336" spans="1:20" hidden="1" x14ac:dyDescent="0.25">
      <c r="A336" s="61"/>
      <c r="B336" s="51" t="s">
        <v>28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58"/>
      <c r="R336" s="42"/>
      <c r="S336" s="42"/>
      <c r="T336" s="168"/>
    </row>
    <row r="337" spans="1:20" hidden="1" x14ac:dyDescent="0.25">
      <c r="A337" s="61"/>
      <c r="B337" s="51" t="s">
        <v>29</v>
      </c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58"/>
      <c r="R337" s="42"/>
      <c r="S337" s="42"/>
      <c r="T337" s="168"/>
    </row>
    <row r="338" spans="1:20" ht="51.75" hidden="1" x14ac:dyDescent="0.25">
      <c r="A338" s="61">
        <v>7</v>
      </c>
      <c r="B338" s="51" t="s">
        <v>271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58"/>
      <c r="R338" s="42"/>
      <c r="S338" s="42"/>
      <c r="T338" s="168"/>
    </row>
    <row r="339" spans="1:20" hidden="1" x14ac:dyDescent="0.25">
      <c r="A339" s="61"/>
      <c r="B339" s="51" t="s">
        <v>27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58"/>
      <c r="R339" s="42"/>
      <c r="S339" s="42"/>
      <c r="T339" s="168"/>
    </row>
    <row r="340" spans="1:20" hidden="1" x14ac:dyDescent="0.25">
      <c r="A340" s="61"/>
      <c r="B340" s="51" t="s">
        <v>28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58"/>
      <c r="R340" s="42"/>
      <c r="S340" s="42"/>
      <c r="T340" s="168"/>
    </row>
    <row r="341" spans="1:20" hidden="1" x14ac:dyDescent="0.25">
      <c r="A341" s="61"/>
      <c r="B341" s="51" t="s">
        <v>289</v>
      </c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58"/>
      <c r="R341" s="42"/>
      <c r="S341" s="42"/>
      <c r="T341" s="168"/>
    </row>
    <row r="342" spans="1:20" ht="51.75" hidden="1" x14ac:dyDescent="0.25">
      <c r="A342" s="61">
        <v>8</v>
      </c>
      <c r="B342" s="51" t="s">
        <v>272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58"/>
      <c r="R342" s="42"/>
      <c r="S342" s="42"/>
      <c r="T342" s="168"/>
    </row>
    <row r="343" spans="1:20" hidden="1" x14ac:dyDescent="0.25">
      <c r="A343" s="61"/>
      <c r="B343" s="51" t="s">
        <v>28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58"/>
      <c r="R343" s="42"/>
      <c r="S343" s="42"/>
      <c r="T343" s="168"/>
    </row>
    <row r="344" spans="1:20" hidden="1" x14ac:dyDescent="0.25">
      <c r="A344" s="61"/>
      <c r="B344" s="51" t="s">
        <v>289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58"/>
      <c r="R344" s="42"/>
      <c r="S344" s="42"/>
      <c r="T344" s="168"/>
    </row>
    <row r="345" spans="1:20" ht="51.75" hidden="1" x14ac:dyDescent="0.25">
      <c r="A345" s="61"/>
      <c r="B345" s="51" t="s">
        <v>272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58"/>
      <c r="R345" s="42"/>
      <c r="S345" s="42"/>
      <c r="T345" s="168"/>
    </row>
    <row r="346" spans="1:20" hidden="1" x14ac:dyDescent="0.25">
      <c r="A346" s="61"/>
      <c r="B346" s="51" t="s">
        <v>28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58"/>
      <c r="R346" s="42"/>
      <c r="S346" s="42"/>
      <c r="T346" s="168"/>
    </row>
    <row r="347" spans="1:20" hidden="1" x14ac:dyDescent="0.25">
      <c r="A347" s="61"/>
      <c r="B347" s="51" t="s">
        <v>29</v>
      </c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58"/>
      <c r="R347" s="42"/>
      <c r="S347" s="42"/>
      <c r="T347" s="168"/>
    </row>
    <row r="348" spans="1:20" hidden="1" x14ac:dyDescent="0.25">
      <c r="A348" s="61"/>
      <c r="B348" s="51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58"/>
      <c r="R348" s="42"/>
      <c r="S348" s="42"/>
      <c r="T348" s="168"/>
    </row>
    <row r="349" spans="1:20" ht="51.75" hidden="1" x14ac:dyDescent="0.25">
      <c r="A349" s="61">
        <v>8</v>
      </c>
      <c r="B349" s="51" t="s">
        <v>49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58"/>
      <c r="R349" s="42"/>
      <c r="S349" s="42"/>
      <c r="T349" s="168"/>
    </row>
    <row r="350" spans="1:20" hidden="1" x14ac:dyDescent="0.25">
      <c r="A350" s="61"/>
      <c r="B350" s="51" t="s">
        <v>27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58"/>
      <c r="R350" s="42"/>
      <c r="S350" s="42"/>
      <c r="T350" s="168"/>
    </row>
    <row r="351" spans="1:20" hidden="1" x14ac:dyDescent="0.25">
      <c r="A351" s="61"/>
      <c r="B351" s="51" t="s">
        <v>28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58"/>
      <c r="R351" s="42"/>
      <c r="S351" s="42"/>
      <c r="T351" s="168"/>
    </row>
    <row r="352" spans="1:20" hidden="1" x14ac:dyDescent="0.25">
      <c r="A352" s="61"/>
      <c r="B352" s="51" t="s">
        <v>29</v>
      </c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58"/>
      <c r="R352" s="42"/>
      <c r="S352" s="42"/>
      <c r="T352" s="168"/>
    </row>
    <row r="353" spans="1:23" ht="51.75" hidden="1" x14ac:dyDescent="0.25">
      <c r="A353" s="61">
        <v>9</v>
      </c>
      <c r="B353" s="51" t="s">
        <v>50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58"/>
      <c r="R353" s="42"/>
      <c r="S353" s="42"/>
      <c r="T353" s="168"/>
    </row>
    <row r="354" spans="1:23" hidden="1" x14ac:dyDescent="0.25">
      <c r="A354" s="61"/>
      <c r="B354" s="51" t="s">
        <v>27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58"/>
      <c r="R354" s="42"/>
      <c r="S354" s="42"/>
      <c r="T354" s="168"/>
    </row>
    <row r="355" spans="1:23" hidden="1" x14ac:dyDescent="0.25">
      <c r="A355" s="61"/>
      <c r="B355" s="51" t="s">
        <v>28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58"/>
      <c r="R355" s="42"/>
      <c r="S355" s="42"/>
      <c r="T355" s="168"/>
    </row>
    <row r="356" spans="1:23" hidden="1" x14ac:dyDescent="0.25">
      <c r="A356" s="61"/>
      <c r="B356" s="51" t="s">
        <v>29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58"/>
      <c r="R356" s="42"/>
      <c r="S356" s="42"/>
      <c r="T356" s="168"/>
    </row>
    <row r="357" spans="1:23" ht="51.75" hidden="1" x14ac:dyDescent="0.25">
      <c r="A357" s="61">
        <v>10</v>
      </c>
      <c r="B357" s="51" t="s">
        <v>51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58"/>
      <c r="R357" s="42"/>
      <c r="S357" s="42"/>
      <c r="T357" s="168"/>
    </row>
    <row r="358" spans="1:23" hidden="1" x14ac:dyDescent="0.25">
      <c r="A358" s="61"/>
      <c r="B358" s="51" t="s">
        <v>27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58"/>
      <c r="R358" s="42"/>
      <c r="S358" s="42"/>
      <c r="T358" s="168"/>
    </row>
    <row r="359" spans="1:23" hidden="1" x14ac:dyDescent="0.25">
      <c r="A359" s="61"/>
      <c r="B359" s="51" t="s">
        <v>28</v>
      </c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58"/>
      <c r="R359" s="42"/>
      <c r="S359" s="42"/>
      <c r="T359" s="168"/>
    </row>
    <row r="360" spans="1:23" hidden="1" x14ac:dyDescent="0.25">
      <c r="A360" s="61"/>
      <c r="B360" s="51" t="s">
        <v>29</v>
      </c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58"/>
      <c r="R360" s="42"/>
      <c r="S360" s="42"/>
      <c r="T360" s="168"/>
    </row>
    <row r="361" spans="1:23" ht="51.75" hidden="1" x14ac:dyDescent="0.25">
      <c r="A361" s="61">
        <v>11</v>
      </c>
      <c r="B361" s="51" t="s">
        <v>52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58"/>
      <c r="R361" s="42"/>
      <c r="S361" s="42"/>
      <c r="T361" s="168"/>
    </row>
    <row r="362" spans="1:23" hidden="1" x14ac:dyDescent="0.25">
      <c r="A362" s="61"/>
      <c r="B362" s="51" t="s">
        <v>27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58"/>
      <c r="R362" s="42"/>
      <c r="S362" s="42"/>
      <c r="T362" s="168"/>
    </row>
    <row r="363" spans="1:23" hidden="1" x14ac:dyDescent="0.25">
      <c r="A363" s="61"/>
      <c r="B363" s="51" t="s">
        <v>28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58"/>
      <c r="R363" s="42"/>
      <c r="S363" s="42"/>
      <c r="T363" s="168"/>
    </row>
    <row r="364" spans="1:23" hidden="1" x14ac:dyDescent="0.25">
      <c r="A364" s="61"/>
      <c r="B364" s="51" t="s">
        <v>29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58"/>
      <c r="R364" s="42"/>
      <c r="S364" s="42"/>
      <c r="T364" s="168"/>
    </row>
    <row r="365" spans="1:23" hidden="1" x14ac:dyDescent="0.25">
      <c r="A365" s="61">
        <v>12</v>
      </c>
      <c r="B365" s="51" t="s">
        <v>13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58"/>
      <c r="R365" s="42"/>
      <c r="S365" s="42"/>
      <c r="T365" s="168"/>
    </row>
    <row r="366" spans="1:23" s="60" customFormat="1" hidden="1" x14ac:dyDescent="0.25">
      <c r="A366" s="56"/>
      <c r="B366" s="51" t="s">
        <v>27</v>
      </c>
      <c r="C366" s="58"/>
      <c r="D366" s="58"/>
      <c r="E366" s="58"/>
      <c r="F366" s="42"/>
      <c r="G366" s="58"/>
      <c r="H366" s="42"/>
      <c r="I366" s="58"/>
      <c r="J366" s="42"/>
      <c r="K366" s="42"/>
      <c r="L366" s="42"/>
      <c r="M366" s="42"/>
      <c r="N366" s="42"/>
      <c r="O366" s="42"/>
      <c r="P366" s="42"/>
      <c r="Q366" s="58"/>
      <c r="R366" s="42"/>
      <c r="S366" s="58"/>
      <c r="T366" s="168"/>
      <c r="U366" s="68"/>
      <c r="V366" s="66"/>
      <c r="W366" s="66"/>
    </row>
    <row r="367" spans="1:23" hidden="1" x14ac:dyDescent="0.25">
      <c r="A367" s="61"/>
      <c r="B367" s="51" t="s">
        <v>28</v>
      </c>
      <c r="C367" s="58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58"/>
      <c r="R367" s="42"/>
      <c r="S367" s="42"/>
      <c r="T367" s="168"/>
    </row>
    <row r="368" spans="1:23" hidden="1" x14ac:dyDescent="0.25">
      <c r="A368" s="61"/>
      <c r="B368" s="51" t="s">
        <v>29</v>
      </c>
      <c r="C368" s="58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58"/>
      <c r="R368" s="42"/>
      <c r="S368" s="42"/>
      <c r="T368" s="168"/>
    </row>
    <row r="369" spans="1:23" hidden="1" x14ac:dyDescent="0.25">
      <c r="C369" s="49"/>
      <c r="D369" s="49"/>
      <c r="E369" s="49"/>
      <c r="F369" s="42"/>
      <c r="G369" s="49"/>
      <c r="H369" s="42"/>
      <c r="I369" s="49"/>
      <c r="J369" s="49"/>
      <c r="K369" s="42"/>
      <c r="L369" s="49"/>
      <c r="M369" s="42"/>
      <c r="N369" s="49"/>
      <c r="O369" s="42"/>
      <c r="P369" s="42"/>
      <c r="Q369" s="58"/>
      <c r="R369" s="42"/>
      <c r="S369" s="49"/>
      <c r="T369" s="49"/>
    </row>
    <row r="370" spans="1:23" hidden="1" x14ac:dyDescent="0.25">
      <c r="B370" s="9" t="s">
        <v>69</v>
      </c>
      <c r="C370" s="49"/>
      <c r="D370" s="49"/>
      <c r="E370" s="49"/>
      <c r="F370" s="49"/>
      <c r="G370" s="49"/>
      <c r="H370" s="49"/>
      <c r="I370" s="49"/>
      <c r="J370" s="49"/>
      <c r="K370" s="42"/>
      <c r="L370" s="49"/>
      <c r="M370" s="42"/>
      <c r="N370" s="49"/>
      <c r="O370" s="42"/>
      <c r="P370" s="42"/>
      <c r="Q370" s="58"/>
      <c r="R370" s="49"/>
      <c r="S370" s="49"/>
      <c r="T370" s="49"/>
    </row>
    <row r="371" spans="1:23" s="60" customFormat="1" x14ac:dyDescent="0.25">
      <c r="A371" s="56">
        <v>18</v>
      </c>
      <c r="B371" s="8" t="s">
        <v>70</v>
      </c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42"/>
      <c r="Q371" s="58"/>
      <c r="R371" s="58"/>
      <c r="S371" s="58"/>
      <c r="T371" s="168"/>
      <c r="U371" s="68"/>
      <c r="V371" s="66"/>
      <c r="W371" s="66"/>
    </row>
    <row r="372" spans="1:23" ht="39" hidden="1" x14ac:dyDescent="0.25">
      <c r="A372" s="61" t="s">
        <v>15</v>
      </c>
      <c r="B372" s="51" t="s">
        <v>54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58"/>
      <c r="R372" s="42"/>
      <c r="S372" s="42"/>
      <c r="T372" s="169"/>
    </row>
    <row r="373" spans="1:23" hidden="1" x14ac:dyDescent="0.25">
      <c r="A373" s="61"/>
      <c r="B373" s="51" t="s">
        <v>27</v>
      </c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58"/>
      <c r="R373" s="42"/>
      <c r="S373" s="42"/>
      <c r="T373" s="169"/>
    </row>
    <row r="374" spans="1:23" hidden="1" x14ac:dyDescent="0.25">
      <c r="A374" s="61"/>
      <c r="B374" s="51" t="s">
        <v>28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58"/>
      <c r="R374" s="42"/>
      <c r="S374" s="42"/>
      <c r="T374" s="169"/>
    </row>
    <row r="375" spans="1:23" hidden="1" x14ac:dyDescent="0.25">
      <c r="A375" s="61"/>
      <c r="B375" s="51" t="s">
        <v>29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58"/>
      <c r="R375" s="42"/>
      <c r="S375" s="42"/>
      <c r="T375" s="169"/>
    </row>
    <row r="376" spans="1:23" ht="39" x14ac:dyDescent="0.25">
      <c r="A376" s="61" t="s">
        <v>152</v>
      </c>
      <c r="B376" s="51" t="s">
        <v>343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58"/>
      <c r="R376" s="42"/>
      <c r="S376" s="42"/>
      <c r="T376" s="168"/>
    </row>
    <row r="377" spans="1:23" x14ac:dyDescent="0.25">
      <c r="A377" s="61"/>
      <c r="B377" s="51" t="s">
        <v>287</v>
      </c>
      <c r="C377" s="42">
        <v>13</v>
      </c>
      <c r="D377" s="42">
        <v>74111</v>
      </c>
      <c r="E377" s="42">
        <f>C377*D377+35525</f>
        <v>998968</v>
      </c>
      <c r="F377" s="42">
        <f t="shared" ref="F377:F379" si="308">ROUND(D377*35.4%,0)</f>
        <v>26235</v>
      </c>
      <c r="G377" s="42">
        <f>C377*F377-6966</f>
        <v>334089</v>
      </c>
      <c r="H377" s="63">
        <v>17881.599999999999</v>
      </c>
      <c r="I377" s="63">
        <v>1.633</v>
      </c>
      <c r="J377" s="42">
        <f t="shared" ref="J377" si="309">H377*I377</f>
        <v>29200.652799999996</v>
      </c>
      <c r="K377" s="42">
        <f>ROUND(C377*J377,0)+217+832</f>
        <v>380657</v>
      </c>
      <c r="L377" s="42"/>
      <c r="M377" s="63"/>
      <c r="N377" s="42">
        <f t="shared" ref="N377" si="310">L377*M377</f>
        <v>0</v>
      </c>
      <c r="O377" s="42">
        <f>ROUND(C377*N377,0)</f>
        <v>0</v>
      </c>
      <c r="P377" s="42">
        <f t="shared" ref="P377:P379" si="311">D377+F377+J377+N377</f>
        <v>129546.6528</v>
      </c>
      <c r="Q377" s="58"/>
      <c r="R377" s="42">
        <f t="shared" ref="R377:R379" si="312">E377+G377+K377+O377</f>
        <v>1713714</v>
      </c>
      <c r="S377" s="42"/>
      <c r="T377" s="168"/>
    </row>
    <row r="378" spans="1:23" x14ac:dyDescent="0.25">
      <c r="A378" s="61"/>
      <c r="B378" s="51" t="s">
        <v>28</v>
      </c>
      <c r="C378" s="42">
        <v>10</v>
      </c>
      <c r="D378" s="42">
        <v>44466</v>
      </c>
      <c r="E378" s="42">
        <f t="shared" ref="E378:E379" si="313">C378*D378</f>
        <v>444660</v>
      </c>
      <c r="F378" s="42">
        <f t="shared" si="308"/>
        <v>15741</v>
      </c>
      <c r="G378" s="42">
        <f t="shared" ref="G378:G379" si="314">C378*F378</f>
        <v>157410</v>
      </c>
      <c r="H378" s="63">
        <v>17881.599999999999</v>
      </c>
      <c r="I378" s="63">
        <v>1.633</v>
      </c>
      <c r="J378" s="42">
        <f t="shared" ref="J378:J379" si="315">H378*I378</f>
        <v>29200.652799999996</v>
      </c>
      <c r="K378" s="42">
        <f t="shared" ref="K378:K379" si="316">ROUND(C378*J378,0)</f>
        <v>292007</v>
      </c>
      <c r="L378" s="42"/>
      <c r="M378" s="63"/>
      <c r="N378" s="42">
        <f t="shared" ref="N378:N409" si="317">L378*M378</f>
        <v>0</v>
      </c>
      <c r="O378" s="42">
        <f t="shared" ref="O378:O409" si="318">ROUND(C378*N378,0)</f>
        <v>0</v>
      </c>
      <c r="P378" s="42">
        <f t="shared" si="311"/>
        <v>89407.652799999996</v>
      </c>
      <c r="Q378" s="58"/>
      <c r="R378" s="42">
        <f t="shared" si="312"/>
        <v>894077</v>
      </c>
      <c r="S378" s="42"/>
      <c r="T378" s="168"/>
    </row>
    <row r="379" spans="1:23" x14ac:dyDescent="0.25">
      <c r="A379" s="61"/>
      <c r="B379" s="51" t="s">
        <v>289</v>
      </c>
      <c r="C379" s="42">
        <v>10</v>
      </c>
      <c r="D379" s="42">
        <v>44466</v>
      </c>
      <c r="E379" s="42">
        <f t="shared" si="313"/>
        <v>444660</v>
      </c>
      <c r="F379" s="42">
        <f t="shared" si="308"/>
        <v>15741</v>
      </c>
      <c r="G379" s="42">
        <f t="shared" si="314"/>
        <v>157410</v>
      </c>
      <c r="H379" s="63">
        <v>17881.599999999999</v>
      </c>
      <c r="I379" s="63">
        <v>1.633</v>
      </c>
      <c r="J379" s="42">
        <f t="shared" si="315"/>
        <v>29200.652799999996</v>
      </c>
      <c r="K379" s="42">
        <f t="shared" si="316"/>
        <v>292007</v>
      </c>
      <c r="L379" s="42"/>
      <c r="M379" s="63"/>
      <c r="N379" s="42">
        <f t="shared" si="317"/>
        <v>0</v>
      </c>
      <c r="O379" s="42">
        <f t="shared" si="318"/>
        <v>0</v>
      </c>
      <c r="P379" s="42">
        <f t="shared" si="311"/>
        <v>89407.652799999996</v>
      </c>
      <c r="Q379" s="58"/>
      <c r="R379" s="42">
        <f t="shared" si="312"/>
        <v>894077</v>
      </c>
      <c r="S379" s="42"/>
      <c r="T379" s="168"/>
    </row>
    <row r="380" spans="1:23" ht="39" hidden="1" x14ac:dyDescent="0.25">
      <c r="A380" s="61" t="s">
        <v>60</v>
      </c>
      <c r="B380" s="51" t="s">
        <v>55</v>
      </c>
      <c r="C380" s="42"/>
      <c r="D380" s="42"/>
      <c r="E380" s="42"/>
      <c r="F380" s="42"/>
      <c r="G380" s="42"/>
      <c r="H380" s="63">
        <v>17881.599999999999</v>
      </c>
      <c r="I380" s="63">
        <v>1.633</v>
      </c>
      <c r="J380" s="42"/>
      <c r="K380" s="42"/>
      <c r="L380" s="42">
        <v>4828.07</v>
      </c>
      <c r="M380" s="63">
        <v>1.6160000000000001</v>
      </c>
      <c r="N380" s="42">
        <f t="shared" si="317"/>
        <v>7802.1611199999998</v>
      </c>
      <c r="O380" s="42">
        <f t="shared" si="318"/>
        <v>0</v>
      </c>
      <c r="P380" s="42"/>
      <c r="Q380" s="58"/>
      <c r="R380" s="42"/>
      <c r="S380" s="42"/>
      <c r="T380" s="168"/>
    </row>
    <row r="381" spans="1:23" hidden="1" x14ac:dyDescent="0.25">
      <c r="A381" s="61"/>
      <c r="B381" s="51" t="s">
        <v>27</v>
      </c>
      <c r="C381" s="42"/>
      <c r="D381" s="42"/>
      <c r="E381" s="42"/>
      <c r="F381" s="42"/>
      <c r="G381" s="42"/>
      <c r="H381" s="63">
        <v>17881.599999999999</v>
      </c>
      <c r="I381" s="63">
        <v>1.633</v>
      </c>
      <c r="J381" s="42"/>
      <c r="K381" s="42"/>
      <c r="L381" s="42">
        <v>4828.07</v>
      </c>
      <c r="M381" s="63">
        <v>1.6160000000000001</v>
      </c>
      <c r="N381" s="42">
        <f t="shared" si="317"/>
        <v>7802.1611199999998</v>
      </c>
      <c r="O381" s="42">
        <f t="shared" si="318"/>
        <v>0</v>
      </c>
      <c r="P381" s="42"/>
      <c r="Q381" s="58"/>
      <c r="R381" s="42"/>
      <c r="S381" s="42"/>
      <c r="T381" s="168"/>
    </row>
    <row r="382" spans="1:23" hidden="1" x14ac:dyDescent="0.25">
      <c r="A382" s="61"/>
      <c r="B382" s="51" t="s">
        <v>28</v>
      </c>
      <c r="C382" s="42"/>
      <c r="D382" s="42"/>
      <c r="E382" s="42"/>
      <c r="F382" s="42"/>
      <c r="G382" s="42"/>
      <c r="H382" s="63">
        <v>17881.599999999999</v>
      </c>
      <c r="I382" s="63">
        <v>1.633</v>
      </c>
      <c r="J382" s="42"/>
      <c r="K382" s="42"/>
      <c r="L382" s="42">
        <v>4828.07</v>
      </c>
      <c r="M382" s="63">
        <v>1.6160000000000001</v>
      </c>
      <c r="N382" s="42">
        <f t="shared" si="317"/>
        <v>7802.1611199999998</v>
      </c>
      <c r="O382" s="42">
        <f t="shared" si="318"/>
        <v>0</v>
      </c>
      <c r="P382" s="42"/>
      <c r="Q382" s="58"/>
      <c r="R382" s="42"/>
      <c r="S382" s="42"/>
      <c r="T382" s="168"/>
    </row>
    <row r="383" spans="1:23" hidden="1" x14ac:dyDescent="0.25">
      <c r="A383" s="61"/>
      <c r="B383" s="51" t="s">
        <v>29</v>
      </c>
      <c r="C383" s="42"/>
      <c r="D383" s="42"/>
      <c r="E383" s="42"/>
      <c r="F383" s="42"/>
      <c r="G383" s="42"/>
      <c r="H383" s="63">
        <v>17881.599999999999</v>
      </c>
      <c r="I383" s="63">
        <v>1.633</v>
      </c>
      <c r="J383" s="42"/>
      <c r="K383" s="42"/>
      <c r="L383" s="42">
        <v>4828.07</v>
      </c>
      <c r="M383" s="63">
        <v>1.6160000000000001</v>
      </c>
      <c r="N383" s="42">
        <f t="shared" si="317"/>
        <v>7802.1611199999998</v>
      </c>
      <c r="O383" s="42">
        <f t="shared" si="318"/>
        <v>0</v>
      </c>
      <c r="P383" s="42"/>
      <c r="Q383" s="58"/>
      <c r="R383" s="42"/>
      <c r="S383" s="42"/>
      <c r="T383" s="168"/>
    </row>
    <row r="384" spans="1:23" ht="39" hidden="1" x14ac:dyDescent="0.25">
      <c r="A384" s="61" t="s">
        <v>61</v>
      </c>
      <c r="B384" s="51" t="s">
        <v>56</v>
      </c>
      <c r="C384" s="42"/>
      <c r="D384" s="42"/>
      <c r="E384" s="42"/>
      <c r="F384" s="42"/>
      <c r="G384" s="42"/>
      <c r="H384" s="63">
        <v>17881.599999999999</v>
      </c>
      <c r="I384" s="63">
        <v>1.633</v>
      </c>
      <c r="J384" s="42"/>
      <c r="K384" s="42"/>
      <c r="L384" s="42">
        <v>4828.07</v>
      </c>
      <c r="M384" s="63">
        <v>1.6160000000000001</v>
      </c>
      <c r="N384" s="42">
        <f t="shared" si="317"/>
        <v>7802.1611199999998</v>
      </c>
      <c r="O384" s="42">
        <f t="shared" si="318"/>
        <v>0</v>
      </c>
      <c r="P384" s="42"/>
      <c r="Q384" s="58"/>
      <c r="R384" s="42"/>
      <c r="S384" s="42"/>
      <c r="T384" s="168"/>
    </row>
    <row r="385" spans="1:20" hidden="1" x14ac:dyDescent="0.25">
      <c r="A385" s="61"/>
      <c r="B385" s="51" t="s">
        <v>27</v>
      </c>
      <c r="C385" s="42"/>
      <c r="D385" s="42"/>
      <c r="E385" s="42"/>
      <c r="F385" s="42"/>
      <c r="G385" s="42"/>
      <c r="H385" s="63">
        <v>17881.599999999999</v>
      </c>
      <c r="I385" s="63">
        <v>1.633</v>
      </c>
      <c r="J385" s="42"/>
      <c r="K385" s="42"/>
      <c r="L385" s="42">
        <v>4828.07</v>
      </c>
      <c r="M385" s="63">
        <v>1.6160000000000001</v>
      </c>
      <c r="N385" s="42">
        <f t="shared" si="317"/>
        <v>7802.1611199999998</v>
      </c>
      <c r="O385" s="42">
        <f t="shared" si="318"/>
        <v>0</v>
      </c>
      <c r="P385" s="42"/>
      <c r="Q385" s="58"/>
      <c r="R385" s="42"/>
      <c r="S385" s="42"/>
      <c r="T385" s="168"/>
    </row>
    <row r="386" spans="1:20" hidden="1" x14ac:dyDescent="0.25">
      <c r="A386" s="61"/>
      <c r="B386" s="51" t="s">
        <v>28</v>
      </c>
      <c r="C386" s="42"/>
      <c r="D386" s="42"/>
      <c r="E386" s="42"/>
      <c r="F386" s="42"/>
      <c r="G386" s="42"/>
      <c r="H386" s="63">
        <v>17881.599999999999</v>
      </c>
      <c r="I386" s="63">
        <v>1.633</v>
      </c>
      <c r="J386" s="42"/>
      <c r="K386" s="42"/>
      <c r="L386" s="42">
        <v>4828.07</v>
      </c>
      <c r="M386" s="63">
        <v>1.6160000000000001</v>
      </c>
      <c r="N386" s="42">
        <f t="shared" si="317"/>
        <v>7802.1611199999998</v>
      </c>
      <c r="O386" s="42">
        <f t="shared" si="318"/>
        <v>0</v>
      </c>
      <c r="P386" s="42"/>
      <c r="Q386" s="58"/>
      <c r="R386" s="42"/>
      <c r="S386" s="42"/>
      <c r="T386" s="168"/>
    </row>
    <row r="387" spans="1:20" hidden="1" x14ac:dyDescent="0.25">
      <c r="A387" s="61"/>
      <c r="B387" s="51" t="s">
        <v>29</v>
      </c>
      <c r="C387" s="42"/>
      <c r="D387" s="42"/>
      <c r="E387" s="42"/>
      <c r="F387" s="42"/>
      <c r="G387" s="42"/>
      <c r="H387" s="63">
        <v>17881.599999999999</v>
      </c>
      <c r="I387" s="63">
        <v>1.633</v>
      </c>
      <c r="J387" s="42"/>
      <c r="K387" s="42"/>
      <c r="L387" s="42">
        <v>4828.07</v>
      </c>
      <c r="M387" s="63">
        <v>1.6160000000000001</v>
      </c>
      <c r="N387" s="42">
        <f t="shared" si="317"/>
        <v>7802.1611199999998</v>
      </c>
      <c r="O387" s="42">
        <f t="shared" si="318"/>
        <v>0</v>
      </c>
      <c r="P387" s="42"/>
      <c r="Q387" s="58"/>
      <c r="R387" s="42"/>
      <c r="S387" s="42"/>
      <c r="T387" s="168"/>
    </row>
    <row r="388" spans="1:20" ht="51.75" hidden="1" x14ac:dyDescent="0.25">
      <c r="A388" s="61" t="s">
        <v>62</v>
      </c>
      <c r="B388" s="51" t="s">
        <v>57</v>
      </c>
      <c r="C388" s="42"/>
      <c r="D388" s="42"/>
      <c r="E388" s="42"/>
      <c r="F388" s="42"/>
      <c r="G388" s="42"/>
      <c r="H388" s="63">
        <v>17881.599999999999</v>
      </c>
      <c r="I388" s="63">
        <v>1.633</v>
      </c>
      <c r="J388" s="42"/>
      <c r="K388" s="42"/>
      <c r="L388" s="42">
        <v>4828.07</v>
      </c>
      <c r="M388" s="63">
        <v>1.6160000000000001</v>
      </c>
      <c r="N388" s="42">
        <f t="shared" si="317"/>
        <v>7802.1611199999998</v>
      </c>
      <c r="O388" s="42">
        <f t="shared" si="318"/>
        <v>0</v>
      </c>
      <c r="P388" s="42"/>
      <c r="Q388" s="58"/>
      <c r="R388" s="42"/>
      <c r="S388" s="42"/>
      <c r="T388" s="168"/>
    </row>
    <row r="389" spans="1:20" hidden="1" x14ac:dyDescent="0.25">
      <c r="A389" s="61"/>
      <c r="B389" s="51" t="s">
        <v>27</v>
      </c>
      <c r="C389" s="42"/>
      <c r="D389" s="42"/>
      <c r="E389" s="42"/>
      <c r="F389" s="42"/>
      <c r="G389" s="42"/>
      <c r="H389" s="63">
        <v>17881.599999999999</v>
      </c>
      <c r="I389" s="63">
        <v>1.633</v>
      </c>
      <c r="J389" s="42"/>
      <c r="K389" s="42"/>
      <c r="L389" s="42">
        <v>4828.07</v>
      </c>
      <c r="M389" s="63">
        <v>1.6160000000000001</v>
      </c>
      <c r="N389" s="42">
        <f t="shared" si="317"/>
        <v>7802.1611199999998</v>
      </c>
      <c r="O389" s="42">
        <f t="shared" si="318"/>
        <v>0</v>
      </c>
      <c r="P389" s="42"/>
      <c r="Q389" s="58"/>
      <c r="R389" s="42"/>
      <c r="S389" s="42"/>
      <c r="T389" s="168"/>
    </row>
    <row r="390" spans="1:20" hidden="1" x14ac:dyDescent="0.25">
      <c r="A390" s="61"/>
      <c r="B390" s="51" t="s">
        <v>28</v>
      </c>
      <c r="C390" s="42"/>
      <c r="D390" s="42"/>
      <c r="E390" s="42"/>
      <c r="F390" s="42"/>
      <c r="G390" s="42"/>
      <c r="H390" s="63">
        <v>17881.599999999999</v>
      </c>
      <c r="I390" s="63">
        <v>1.633</v>
      </c>
      <c r="J390" s="42"/>
      <c r="K390" s="42"/>
      <c r="L390" s="42">
        <v>4828.07</v>
      </c>
      <c r="M390" s="63">
        <v>1.6160000000000001</v>
      </c>
      <c r="N390" s="42">
        <f t="shared" si="317"/>
        <v>7802.1611199999998</v>
      </c>
      <c r="O390" s="42">
        <f t="shared" si="318"/>
        <v>0</v>
      </c>
      <c r="P390" s="42"/>
      <c r="Q390" s="58"/>
      <c r="R390" s="42"/>
      <c r="S390" s="42"/>
      <c r="T390" s="168"/>
    </row>
    <row r="391" spans="1:20" hidden="1" x14ac:dyDescent="0.25">
      <c r="A391" s="61"/>
      <c r="B391" s="51" t="s">
        <v>29</v>
      </c>
      <c r="C391" s="42"/>
      <c r="D391" s="42"/>
      <c r="E391" s="42"/>
      <c r="F391" s="42"/>
      <c r="G391" s="42"/>
      <c r="H391" s="63">
        <v>17881.599999999999</v>
      </c>
      <c r="I391" s="63">
        <v>1.633</v>
      </c>
      <c r="J391" s="42"/>
      <c r="K391" s="42"/>
      <c r="L391" s="42">
        <v>4828.07</v>
      </c>
      <c r="M391" s="63">
        <v>1.6160000000000001</v>
      </c>
      <c r="N391" s="42">
        <f t="shared" si="317"/>
        <v>7802.1611199999998</v>
      </c>
      <c r="O391" s="42">
        <f t="shared" si="318"/>
        <v>0</v>
      </c>
      <c r="P391" s="42"/>
      <c r="Q391" s="58"/>
      <c r="R391" s="42"/>
      <c r="S391" s="42"/>
      <c r="T391" s="168"/>
    </row>
    <row r="392" spans="1:20" ht="51.75" hidden="1" x14ac:dyDescent="0.25">
      <c r="A392" s="61" t="s">
        <v>63</v>
      </c>
      <c r="B392" s="51" t="s">
        <v>58</v>
      </c>
      <c r="C392" s="42"/>
      <c r="D392" s="42"/>
      <c r="E392" s="42"/>
      <c r="F392" s="42"/>
      <c r="G392" s="42"/>
      <c r="H392" s="63">
        <v>17881.599999999999</v>
      </c>
      <c r="I392" s="63">
        <v>1.633</v>
      </c>
      <c r="J392" s="42"/>
      <c r="K392" s="42"/>
      <c r="L392" s="42">
        <v>4828.07</v>
      </c>
      <c r="M392" s="63">
        <v>1.6160000000000001</v>
      </c>
      <c r="N392" s="42">
        <f t="shared" si="317"/>
        <v>7802.1611199999998</v>
      </c>
      <c r="O392" s="42">
        <f t="shared" si="318"/>
        <v>0</v>
      </c>
      <c r="P392" s="42"/>
      <c r="Q392" s="58"/>
      <c r="R392" s="42"/>
      <c r="S392" s="42"/>
      <c r="T392" s="168"/>
    </row>
    <row r="393" spans="1:20" hidden="1" x14ac:dyDescent="0.25">
      <c r="A393" s="61"/>
      <c r="B393" s="51" t="s">
        <v>27</v>
      </c>
      <c r="C393" s="42"/>
      <c r="D393" s="42"/>
      <c r="E393" s="42"/>
      <c r="F393" s="42"/>
      <c r="G393" s="42"/>
      <c r="H393" s="63">
        <v>17881.599999999999</v>
      </c>
      <c r="I393" s="63">
        <v>1.633</v>
      </c>
      <c r="J393" s="42"/>
      <c r="K393" s="42"/>
      <c r="L393" s="42">
        <v>4828.07</v>
      </c>
      <c r="M393" s="63">
        <v>1.6160000000000001</v>
      </c>
      <c r="N393" s="42">
        <f t="shared" si="317"/>
        <v>7802.1611199999998</v>
      </c>
      <c r="O393" s="42">
        <f t="shared" si="318"/>
        <v>0</v>
      </c>
      <c r="P393" s="42"/>
      <c r="Q393" s="58"/>
      <c r="R393" s="42"/>
      <c r="S393" s="42"/>
      <c r="T393" s="168"/>
    </row>
    <row r="394" spans="1:20" hidden="1" x14ac:dyDescent="0.25">
      <c r="A394" s="61"/>
      <c r="B394" s="51" t="s">
        <v>28</v>
      </c>
      <c r="C394" s="42"/>
      <c r="D394" s="42"/>
      <c r="E394" s="42"/>
      <c r="F394" s="42"/>
      <c r="G394" s="42"/>
      <c r="H394" s="63">
        <v>17881.599999999999</v>
      </c>
      <c r="I394" s="63">
        <v>1.633</v>
      </c>
      <c r="J394" s="42"/>
      <c r="K394" s="42"/>
      <c r="L394" s="42">
        <v>4828.07</v>
      </c>
      <c r="M394" s="63">
        <v>1.6160000000000001</v>
      </c>
      <c r="N394" s="42">
        <f t="shared" si="317"/>
        <v>7802.1611199999998</v>
      </c>
      <c r="O394" s="42">
        <f t="shared" si="318"/>
        <v>0</v>
      </c>
      <c r="P394" s="42"/>
      <c r="Q394" s="58"/>
      <c r="R394" s="42"/>
      <c r="S394" s="42"/>
      <c r="T394" s="168"/>
    </row>
    <row r="395" spans="1:20" hidden="1" x14ac:dyDescent="0.25">
      <c r="A395" s="61"/>
      <c r="B395" s="51" t="s">
        <v>29</v>
      </c>
      <c r="C395" s="42"/>
      <c r="D395" s="42"/>
      <c r="E395" s="42"/>
      <c r="F395" s="42"/>
      <c r="G395" s="42"/>
      <c r="H395" s="63">
        <v>17881.599999999999</v>
      </c>
      <c r="I395" s="63">
        <v>1.633</v>
      </c>
      <c r="J395" s="42"/>
      <c r="K395" s="42"/>
      <c r="L395" s="42">
        <v>4828.07</v>
      </c>
      <c r="M395" s="63">
        <v>1.6160000000000001</v>
      </c>
      <c r="N395" s="42">
        <f t="shared" si="317"/>
        <v>7802.1611199999998</v>
      </c>
      <c r="O395" s="42">
        <f t="shared" si="318"/>
        <v>0</v>
      </c>
      <c r="P395" s="42"/>
      <c r="Q395" s="58"/>
      <c r="R395" s="42"/>
      <c r="S395" s="42"/>
      <c r="T395" s="168"/>
    </row>
    <row r="396" spans="1:20" ht="39" hidden="1" x14ac:dyDescent="0.25">
      <c r="A396" s="61" t="s">
        <v>64</v>
      </c>
      <c r="B396" s="51" t="s">
        <v>30</v>
      </c>
      <c r="C396" s="42"/>
      <c r="D396" s="42"/>
      <c r="E396" s="42"/>
      <c r="F396" s="42"/>
      <c r="G396" s="42"/>
      <c r="H396" s="63">
        <v>17881.599999999999</v>
      </c>
      <c r="I396" s="63">
        <v>1.633</v>
      </c>
      <c r="J396" s="42"/>
      <c r="K396" s="42"/>
      <c r="L396" s="42">
        <v>4828.07</v>
      </c>
      <c r="M396" s="63">
        <v>1.6160000000000001</v>
      </c>
      <c r="N396" s="42">
        <f t="shared" si="317"/>
        <v>7802.1611199999998</v>
      </c>
      <c r="O396" s="42">
        <f t="shared" si="318"/>
        <v>0</v>
      </c>
      <c r="P396" s="42"/>
      <c r="Q396" s="58"/>
      <c r="R396" s="42"/>
      <c r="S396" s="42"/>
      <c r="T396" s="168"/>
    </row>
    <row r="397" spans="1:20" hidden="1" x14ac:dyDescent="0.25">
      <c r="A397" s="61"/>
      <c r="B397" s="51" t="s">
        <v>27</v>
      </c>
      <c r="C397" s="42"/>
      <c r="D397" s="42"/>
      <c r="E397" s="42"/>
      <c r="F397" s="42"/>
      <c r="G397" s="42"/>
      <c r="H397" s="63">
        <v>17881.599999999999</v>
      </c>
      <c r="I397" s="63">
        <v>1.633</v>
      </c>
      <c r="J397" s="42"/>
      <c r="K397" s="42"/>
      <c r="L397" s="42">
        <v>4828.07</v>
      </c>
      <c r="M397" s="63">
        <v>1.6160000000000001</v>
      </c>
      <c r="N397" s="42">
        <f t="shared" si="317"/>
        <v>7802.1611199999998</v>
      </c>
      <c r="O397" s="42">
        <f t="shared" si="318"/>
        <v>0</v>
      </c>
      <c r="P397" s="42"/>
      <c r="Q397" s="58"/>
      <c r="R397" s="42"/>
      <c r="S397" s="42"/>
      <c r="T397" s="168"/>
    </row>
    <row r="398" spans="1:20" hidden="1" x14ac:dyDescent="0.25">
      <c r="A398" s="61"/>
      <c r="B398" s="51" t="s">
        <v>28</v>
      </c>
      <c r="C398" s="42"/>
      <c r="D398" s="42"/>
      <c r="E398" s="42"/>
      <c r="F398" s="42"/>
      <c r="G398" s="42"/>
      <c r="H398" s="63">
        <v>17881.599999999999</v>
      </c>
      <c r="I398" s="63">
        <v>1.633</v>
      </c>
      <c r="J398" s="42"/>
      <c r="K398" s="42"/>
      <c r="L398" s="42">
        <v>4828.07</v>
      </c>
      <c r="M398" s="63">
        <v>1.6160000000000001</v>
      </c>
      <c r="N398" s="42">
        <f t="shared" si="317"/>
        <v>7802.1611199999998</v>
      </c>
      <c r="O398" s="42">
        <f t="shared" si="318"/>
        <v>0</v>
      </c>
      <c r="P398" s="42"/>
      <c r="Q398" s="58"/>
      <c r="R398" s="42"/>
      <c r="S398" s="42"/>
      <c r="T398" s="168"/>
    </row>
    <row r="399" spans="1:20" hidden="1" x14ac:dyDescent="0.25">
      <c r="A399" s="61"/>
      <c r="B399" s="51" t="s">
        <v>29</v>
      </c>
      <c r="C399" s="42"/>
      <c r="D399" s="42"/>
      <c r="E399" s="42"/>
      <c r="F399" s="42"/>
      <c r="G399" s="42"/>
      <c r="H399" s="63">
        <v>17881.599999999999</v>
      </c>
      <c r="I399" s="63">
        <v>1.633</v>
      </c>
      <c r="J399" s="42"/>
      <c r="K399" s="42"/>
      <c r="L399" s="42">
        <v>4828.07</v>
      </c>
      <c r="M399" s="63">
        <v>1.6160000000000001</v>
      </c>
      <c r="N399" s="42">
        <f t="shared" si="317"/>
        <v>7802.1611199999998</v>
      </c>
      <c r="O399" s="42">
        <f t="shared" si="318"/>
        <v>0</v>
      </c>
      <c r="P399" s="42"/>
      <c r="Q399" s="58"/>
      <c r="R399" s="42"/>
      <c r="S399" s="42"/>
      <c r="T399" s="168"/>
    </row>
    <row r="400" spans="1:20" ht="39" hidden="1" x14ac:dyDescent="0.25">
      <c r="A400" s="61"/>
      <c r="B400" s="51" t="s">
        <v>9</v>
      </c>
      <c r="C400" s="42"/>
      <c r="D400" s="42"/>
      <c r="E400" s="42"/>
      <c r="F400" s="42"/>
      <c r="G400" s="42"/>
      <c r="H400" s="63">
        <v>17881.599999999999</v>
      </c>
      <c r="I400" s="63">
        <v>1.633</v>
      </c>
      <c r="J400" s="42"/>
      <c r="K400" s="42"/>
      <c r="L400" s="42">
        <v>4828.07</v>
      </c>
      <c r="M400" s="63">
        <v>1.6160000000000001</v>
      </c>
      <c r="N400" s="42">
        <f t="shared" si="317"/>
        <v>7802.1611199999998</v>
      </c>
      <c r="O400" s="42">
        <f t="shared" si="318"/>
        <v>0</v>
      </c>
      <c r="P400" s="42"/>
      <c r="Q400" s="58"/>
      <c r="R400" s="42"/>
      <c r="S400" s="42"/>
      <c r="T400" s="168"/>
    </row>
    <row r="401" spans="1:23" ht="39" hidden="1" x14ac:dyDescent="0.25">
      <c r="A401" s="61"/>
      <c r="B401" s="51" t="s">
        <v>11</v>
      </c>
      <c r="C401" s="42"/>
      <c r="D401" s="42"/>
      <c r="E401" s="42"/>
      <c r="F401" s="42"/>
      <c r="G401" s="42"/>
      <c r="H401" s="63">
        <v>17881.599999999999</v>
      </c>
      <c r="I401" s="63">
        <v>1.633</v>
      </c>
      <c r="J401" s="42"/>
      <c r="K401" s="42"/>
      <c r="L401" s="42">
        <v>4828.07</v>
      </c>
      <c r="M401" s="63">
        <v>1.6160000000000001</v>
      </c>
      <c r="N401" s="42">
        <f t="shared" si="317"/>
        <v>7802.1611199999998</v>
      </c>
      <c r="O401" s="42">
        <f t="shared" si="318"/>
        <v>0</v>
      </c>
      <c r="P401" s="42"/>
      <c r="Q401" s="58"/>
      <c r="R401" s="42"/>
      <c r="S401" s="42"/>
      <c r="T401" s="168"/>
    </row>
    <row r="402" spans="1:23" hidden="1" x14ac:dyDescent="0.25">
      <c r="A402" s="61"/>
      <c r="B402" s="51" t="s">
        <v>13</v>
      </c>
      <c r="C402" s="42"/>
      <c r="D402" s="42"/>
      <c r="E402" s="42"/>
      <c r="F402" s="42"/>
      <c r="G402" s="42"/>
      <c r="H402" s="63">
        <v>17881.599999999999</v>
      </c>
      <c r="I402" s="63">
        <v>1.633</v>
      </c>
      <c r="J402" s="42"/>
      <c r="K402" s="42"/>
      <c r="L402" s="42">
        <v>4828.07</v>
      </c>
      <c r="M402" s="63">
        <v>1.6160000000000001</v>
      </c>
      <c r="N402" s="42">
        <f t="shared" si="317"/>
        <v>7802.1611199999998</v>
      </c>
      <c r="O402" s="42">
        <f t="shared" si="318"/>
        <v>0</v>
      </c>
      <c r="P402" s="42"/>
      <c r="Q402" s="58"/>
      <c r="R402" s="42"/>
      <c r="S402" s="42"/>
      <c r="T402" s="168"/>
    </row>
    <row r="403" spans="1:23" hidden="1" x14ac:dyDescent="0.25">
      <c r="A403" s="61"/>
      <c r="B403" s="61" t="s">
        <v>14</v>
      </c>
      <c r="C403" s="42"/>
      <c r="D403" s="42"/>
      <c r="E403" s="42"/>
      <c r="F403" s="42"/>
      <c r="G403" s="42"/>
      <c r="H403" s="63">
        <v>17881.599999999999</v>
      </c>
      <c r="I403" s="63">
        <v>1.633</v>
      </c>
      <c r="J403" s="42"/>
      <c r="K403" s="42"/>
      <c r="L403" s="42">
        <v>4828.07</v>
      </c>
      <c r="M403" s="63">
        <v>1.6160000000000001</v>
      </c>
      <c r="N403" s="42">
        <f t="shared" si="317"/>
        <v>7802.1611199999998</v>
      </c>
      <c r="O403" s="42">
        <f t="shared" si="318"/>
        <v>0</v>
      </c>
      <c r="P403" s="42"/>
      <c r="Q403" s="58"/>
      <c r="R403" s="42"/>
      <c r="S403" s="42"/>
      <c r="T403" s="168"/>
    </row>
    <row r="404" spans="1:23" hidden="1" x14ac:dyDescent="0.25">
      <c r="A404" s="61"/>
      <c r="B404" s="61" t="s">
        <v>17</v>
      </c>
      <c r="C404" s="42"/>
      <c r="D404" s="42"/>
      <c r="E404" s="42"/>
      <c r="F404" s="42"/>
      <c r="G404" s="42"/>
      <c r="H404" s="63">
        <v>17881.599999999999</v>
      </c>
      <c r="I404" s="63">
        <v>1.633</v>
      </c>
      <c r="J404" s="42"/>
      <c r="K404" s="42"/>
      <c r="L404" s="42">
        <v>4828.07</v>
      </c>
      <c r="M404" s="63">
        <v>1.6160000000000001</v>
      </c>
      <c r="N404" s="42">
        <f t="shared" si="317"/>
        <v>7802.1611199999998</v>
      </c>
      <c r="O404" s="42">
        <f t="shared" si="318"/>
        <v>0</v>
      </c>
      <c r="P404" s="42"/>
      <c r="Q404" s="58"/>
      <c r="R404" s="42"/>
      <c r="S404" s="42"/>
      <c r="T404" s="168"/>
    </row>
    <row r="405" spans="1:23" hidden="1" x14ac:dyDescent="0.25">
      <c r="A405" s="61"/>
      <c r="B405" s="61" t="s">
        <v>14</v>
      </c>
      <c r="C405" s="42"/>
      <c r="D405" s="42"/>
      <c r="E405" s="42"/>
      <c r="F405" s="42"/>
      <c r="G405" s="42"/>
      <c r="H405" s="63">
        <v>17881.599999999999</v>
      </c>
      <c r="I405" s="63">
        <v>1.633</v>
      </c>
      <c r="J405" s="42"/>
      <c r="K405" s="42"/>
      <c r="L405" s="42">
        <v>4828.07</v>
      </c>
      <c r="M405" s="63">
        <v>1.6160000000000001</v>
      </c>
      <c r="N405" s="42">
        <f t="shared" si="317"/>
        <v>7802.1611199999998</v>
      </c>
      <c r="O405" s="42">
        <f t="shared" si="318"/>
        <v>0</v>
      </c>
      <c r="P405" s="42"/>
      <c r="Q405" s="58"/>
      <c r="R405" s="42"/>
      <c r="S405" s="42"/>
      <c r="T405" s="168"/>
    </row>
    <row r="406" spans="1:23" hidden="1" x14ac:dyDescent="0.25">
      <c r="A406" s="65"/>
      <c r="B406" s="51" t="s">
        <v>13</v>
      </c>
      <c r="C406" s="42"/>
      <c r="D406" s="42"/>
      <c r="E406" s="42"/>
      <c r="F406" s="42"/>
      <c r="G406" s="42"/>
      <c r="H406" s="63">
        <v>17881.599999999999</v>
      </c>
      <c r="I406" s="63">
        <v>1.633</v>
      </c>
      <c r="J406" s="42"/>
      <c r="K406" s="42"/>
      <c r="L406" s="42">
        <v>4828.07</v>
      </c>
      <c r="M406" s="63">
        <v>1.6160000000000001</v>
      </c>
      <c r="N406" s="42">
        <f t="shared" si="317"/>
        <v>7802.1611199999998</v>
      </c>
      <c r="O406" s="42">
        <f t="shared" si="318"/>
        <v>0</v>
      </c>
      <c r="P406" s="42"/>
      <c r="Q406" s="58"/>
      <c r="R406" s="42"/>
      <c r="S406" s="42"/>
      <c r="T406" s="168"/>
    </row>
    <row r="407" spans="1:23" s="60" customFormat="1" hidden="1" x14ac:dyDescent="0.25">
      <c r="A407" s="56"/>
      <c r="B407" s="51" t="s">
        <v>27</v>
      </c>
      <c r="C407" s="58"/>
      <c r="D407" s="58"/>
      <c r="E407" s="58"/>
      <c r="F407" s="42"/>
      <c r="G407" s="58"/>
      <c r="H407" s="63">
        <v>17881.599999999999</v>
      </c>
      <c r="I407" s="63">
        <v>1.633</v>
      </c>
      <c r="J407" s="42"/>
      <c r="K407" s="42"/>
      <c r="L407" s="42">
        <v>4828.07</v>
      </c>
      <c r="M407" s="63">
        <v>1.6160000000000001</v>
      </c>
      <c r="N407" s="42">
        <f t="shared" si="317"/>
        <v>7802.1611199999998</v>
      </c>
      <c r="O407" s="42">
        <f t="shared" si="318"/>
        <v>0</v>
      </c>
      <c r="P407" s="42"/>
      <c r="Q407" s="58"/>
      <c r="R407" s="42"/>
      <c r="S407" s="58"/>
      <c r="T407" s="168"/>
      <c r="U407" s="68"/>
      <c r="V407" s="66"/>
      <c r="W407" s="66"/>
    </row>
    <row r="408" spans="1:23" hidden="1" x14ac:dyDescent="0.25">
      <c r="A408" s="61"/>
      <c r="B408" s="51" t="s">
        <v>28</v>
      </c>
      <c r="C408" s="42"/>
      <c r="D408" s="42"/>
      <c r="E408" s="42"/>
      <c r="F408" s="42"/>
      <c r="G408" s="42"/>
      <c r="H408" s="63">
        <v>17881.599999999999</v>
      </c>
      <c r="I408" s="63">
        <v>1.633</v>
      </c>
      <c r="J408" s="42"/>
      <c r="K408" s="42"/>
      <c r="L408" s="42">
        <v>4828.07</v>
      </c>
      <c r="M408" s="63">
        <v>1.6160000000000001</v>
      </c>
      <c r="N408" s="42">
        <f t="shared" si="317"/>
        <v>7802.1611199999998</v>
      </c>
      <c r="O408" s="42">
        <f t="shared" si="318"/>
        <v>0</v>
      </c>
      <c r="P408" s="42"/>
      <c r="Q408" s="58"/>
      <c r="R408" s="42"/>
      <c r="S408" s="42"/>
      <c r="T408" s="168"/>
    </row>
    <row r="409" spans="1:23" hidden="1" x14ac:dyDescent="0.25">
      <c r="A409" s="61"/>
      <c r="B409" s="51" t="s">
        <v>29</v>
      </c>
      <c r="C409" s="42"/>
      <c r="D409" s="42"/>
      <c r="E409" s="42"/>
      <c r="F409" s="42"/>
      <c r="G409" s="42"/>
      <c r="H409" s="63">
        <v>17881.599999999999</v>
      </c>
      <c r="I409" s="63">
        <v>1.633</v>
      </c>
      <c r="J409" s="42"/>
      <c r="K409" s="42"/>
      <c r="L409" s="42">
        <v>4828.07</v>
      </c>
      <c r="M409" s="63">
        <v>1.6160000000000001</v>
      </c>
      <c r="N409" s="42">
        <f t="shared" si="317"/>
        <v>7802.1611199999998</v>
      </c>
      <c r="O409" s="42">
        <f t="shared" si="318"/>
        <v>0</v>
      </c>
      <c r="P409" s="42"/>
      <c r="Q409" s="58"/>
      <c r="R409" s="42"/>
      <c r="S409" s="42"/>
      <c r="T409" s="168"/>
    </row>
    <row r="410" spans="1:23" s="60" customFormat="1" x14ac:dyDescent="0.25">
      <c r="A410" s="56">
        <v>2</v>
      </c>
      <c r="B410" s="8" t="s">
        <v>231</v>
      </c>
      <c r="C410" s="58"/>
      <c r="D410" s="58"/>
      <c r="E410" s="58"/>
      <c r="F410" s="58"/>
      <c r="G410" s="58"/>
      <c r="H410" s="58"/>
      <c r="I410" s="58"/>
      <c r="J410" s="58"/>
      <c r="K410" s="58"/>
      <c r="L410" s="42"/>
      <c r="M410" s="63"/>
      <c r="N410" s="42"/>
      <c r="O410" s="42"/>
      <c r="P410" s="42"/>
      <c r="Q410" s="58"/>
      <c r="R410" s="58"/>
      <c r="S410" s="58"/>
      <c r="T410" s="168"/>
      <c r="U410" s="68"/>
      <c r="V410" s="66"/>
      <c r="W410" s="66"/>
    </row>
    <row r="411" spans="1:23" ht="39" hidden="1" x14ac:dyDescent="0.25">
      <c r="A411" s="61" t="s">
        <v>15</v>
      </c>
      <c r="B411" s="51" t="s">
        <v>54</v>
      </c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58"/>
      <c r="R411" s="42"/>
      <c r="S411" s="42"/>
      <c r="T411" s="169"/>
    </row>
    <row r="412" spans="1:23" hidden="1" x14ac:dyDescent="0.25">
      <c r="A412" s="61"/>
      <c r="B412" s="51" t="s">
        <v>27</v>
      </c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58"/>
      <c r="R412" s="42"/>
      <c r="S412" s="42"/>
      <c r="T412" s="169"/>
    </row>
    <row r="413" spans="1:23" hidden="1" x14ac:dyDescent="0.25">
      <c r="A413" s="61"/>
      <c r="B413" s="51" t="s">
        <v>28</v>
      </c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58"/>
      <c r="R413" s="42"/>
      <c r="S413" s="42"/>
      <c r="T413" s="169"/>
    </row>
    <row r="414" spans="1:23" hidden="1" x14ac:dyDescent="0.25">
      <c r="A414" s="61"/>
      <c r="B414" s="51" t="s">
        <v>29</v>
      </c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58"/>
      <c r="R414" s="42"/>
      <c r="S414" s="42"/>
      <c r="T414" s="169"/>
    </row>
    <row r="415" spans="1:23" ht="39" hidden="1" x14ac:dyDescent="0.25">
      <c r="A415" s="61" t="s">
        <v>59</v>
      </c>
      <c r="B415" s="51" t="s">
        <v>68</v>
      </c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58"/>
      <c r="R415" s="42"/>
      <c r="S415" s="42"/>
      <c r="T415" s="169"/>
    </row>
    <row r="416" spans="1:23" hidden="1" x14ac:dyDescent="0.25">
      <c r="A416" s="61"/>
      <c r="B416" s="51" t="s">
        <v>27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58"/>
      <c r="R416" s="42"/>
      <c r="S416" s="42"/>
      <c r="T416" s="169"/>
    </row>
    <row r="417" spans="1:20" hidden="1" x14ac:dyDescent="0.25">
      <c r="A417" s="61"/>
      <c r="B417" s="51" t="s">
        <v>28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58"/>
      <c r="R417" s="42"/>
      <c r="S417" s="42"/>
      <c r="T417" s="169"/>
    </row>
    <row r="418" spans="1:20" hidden="1" x14ac:dyDescent="0.25">
      <c r="A418" s="61"/>
      <c r="B418" s="51" t="s">
        <v>29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58"/>
      <c r="R418" s="42"/>
      <c r="S418" s="42"/>
      <c r="T418" s="169"/>
    </row>
    <row r="419" spans="1:20" ht="39" hidden="1" x14ac:dyDescent="0.25">
      <c r="A419" s="61" t="s">
        <v>60</v>
      </c>
      <c r="B419" s="51" t="s">
        <v>55</v>
      </c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58"/>
      <c r="R419" s="42"/>
      <c r="S419" s="42"/>
      <c r="T419" s="169"/>
    </row>
    <row r="420" spans="1:20" hidden="1" x14ac:dyDescent="0.25">
      <c r="A420" s="61"/>
      <c r="B420" s="51" t="s">
        <v>27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58"/>
      <c r="R420" s="42"/>
      <c r="S420" s="42"/>
      <c r="T420" s="169"/>
    </row>
    <row r="421" spans="1:20" hidden="1" x14ac:dyDescent="0.25">
      <c r="A421" s="61"/>
      <c r="B421" s="51" t="s">
        <v>28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58"/>
      <c r="R421" s="42"/>
      <c r="S421" s="42"/>
      <c r="T421" s="169"/>
    </row>
    <row r="422" spans="1:20" hidden="1" x14ac:dyDescent="0.25">
      <c r="A422" s="61"/>
      <c r="B422" s="51" t="s">
        <v>29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58"/>
      <c r="R422" s="42"/>
      <c r="S422" s="42"/>
      <c r="T422" s="169"/>
    </row>
    <row r="423" spans="1:20" ht="39" x14ac:dyDescent="0.25">
      <c r="A423" s="61" t="s">
        <v>237</v>
      </c>
      <c r="B423" s="51" t="s">
        <v>56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58"/>
      <c r="R423" s="42"/>
      <c r="S423" s="42"/>
      <c r="T423" s="168"/>
    </row>
    <row r="424" spans="1:20" x14ac:dyDescent="0.25">
      <c r="A424" s="61"/>
      <c r="B424" s="51" t="s">
        <v>287</v>
      </c>
      <c r="C424" s="42">
        <v>26</v>
      </c>
      <c r="D424" s="42">
        <v>67698</v>
      </c>
      <c r="E424" s="42">
        <f t="shared" ref="E424:E444" si="319">C424*D424</f>
        <v>1760148</v>
      </c>
      <c r="F424" s="42">
        <f t="shared" ref="F424:F426" si="320">ROUND(D424*35.4%,0)</f>
        <v>23965</v>
      </c>
      <c r="G424" s="42">
        <f t="shared" ref="G424" si="321">C424*F424</f>
        <v>623090</v>
      </c>
      <c r="H424" s="63">
        <v>17881.599999999999</v>
      </c>
      <c r="I424" s="63">
        <v>1.633</v>
      </c>
      <c r="J424" s="42">
        <f t="shared" ref="J424" si="322">H424*I424</f>
        <v>29200.652799999996</v>
      </c>
      <c r="K424" s="42">
        <f>ROUND(C424*J424,0)+312091</f>
        <v>1071308</v>
      </c>
      <c r="L424" s="42"/>
      <c r="M424" s="63"/>
      <c r="N424" s="42"/>
      <c r="O424" s="42"/>
      <c r="P424" s="42">
        <f t="shared" ref="P424:P445" si="323">D424+F424+J424+N424</f>
        <v>120863.6528</v>
      </c>
      <c r="Q424" s="58"/>
      <c r="R424" s="42">
        <f t="shared" ref="R424:R445" si="324">E424+G424+K424+O424</f>
        <v>3454546</v>
      </c>
      <c r="S424" s="42"/>
      <c r="T424" s="168"/>
    </row>
    <row r="425" spans="1:20" x14ac:dyDescent="0.25">
      <c r="A425" s="61"/>
      <c r="B425" s="51" t="s">
        <v>28</v>
      </c>
      <c r="C425" s="42">
        <v>20</v>
      </c>
      <c r="D425" s="42">
        <v>50772</v>
      </c>
      <c r="E425" s="42">
        <f t="shared" si="319"/>
        <v>1015440</v>
      </c>
      <c r="F425" s="42">
        <f t="shared" si="320"/>
        <v>17973</v>
      </c>
      <c r="G425" s="42">
        <f t="shared" ref="G425:G426" si="325">C425*F425</f>
        <v>359460</v>
      </c>
      <c r="H425" s="63">
        <v>17881.599999999999</v>
      </c>
      <c r="I425" s="63">
        <v>1.633</v>
      </c>
      <c r="J425" s="42">
        <f t="shared" ref="J425:J426" si="326">H425*I425</f>
        <v>29200.652799999996</v>
      </c>
      <c r="K425" s="42">
        <f t="shared" ref="K425:K426" si="327">ROUND(C425*J425,0)</f>
        <v>584013</v>
      </c>
      <c r="L425" s="42"/>
      <c r="M425" s="63"/>
      <c r="N425" s="42"/>
      <c r="O425" s="42"/>
      <c r="P425" s="42">
        <f t="shared" si="323"/>
        <v>97945.652799999996</v>
      </c>
      <c r="Q425" s="58"/>
      <c r="R425" s="42">
        <f t="shared" si="324"/>
        <v>1958913</v>
      </c>
      <c r="S425" s="42"/>
      <c r="T425" s="168"/>
    </row>
    <row r="426" spans="1:20" x14ac:dyDescent="0.25">
      <c r="A426" s="61"/>
      <c r="B426" s="51" t="s">
        <v>289</v>
      </c>
      <c r="C426" s="42">
        <v>17</v>
      </c>
      <c r="D426" s="42">
        <v>50772</v>
      </c>
      <c r="E426" s="42">
        <f t="shared" si="319"/>
        <v>863124</v>
      </c>
      <c r="F426" s="42">
        <f t="shared" si="320"/>
        <v>17973</v>
      </c>
      <c r="G426" s="42">
        <f t="shared" si="325"/>
        <v>305541</v>
      </c>
      <c r="H426" s="63">
        <v>17881.599999999999</v>
      </c>
      <c r="I426" s="63">
        <v>1.633</v>
      </c>
      <c r="J426" s="42">
        <f t="shared" si="326"/>
        <v>29200.652799999996</v>
      </c>
      <c r="K426" s="42">
        <f t="shared" si="327"/>
        <v>496411</v>
      </c>
      <c r="L426" s="42"/>
      <c r="M426" s="63"/>
      <c r="N426" s="42"/>
      <c r="O426" s="42"/>
      <c r="P426" s="42">
        <f t="shared" si="323"/>
        <v>97945.652799999996</v>
      </c>
      <c r="Q426" s="58"/>
      <c r="R426" s="42">
        <f t="shared" si="324"/>
        <v>1665076</v>
      </c>
      <c r="S426" s="42"/>
      <c r="T426" s="168"/>
    </row>
    <row r="427" spans="1:20" ht="51.75" hidden="1" x14ac:dyDescent="0.25">
      <c r="A427" s="61" t="s">
        <v>62</v>
      </c>
      <c r="B427" s="51" t="s">
        <v>57</v>
      </c>
      <c r="C427" s="42"/>
      <c r="D427" s="42"/>
      <c r="E427" s="42">
        <f t="shared" si="319"/>
        <v>0</v>
      </c>
      <c r="F427" s="42">
        <f t="shared" ref="F427:F444" si="328">ROUND(D427*35%,0)</f>
        <v>0</v>
      </c>
      <c r="G427" s="42"/>
      <c r="H427" s="63">
        <v>16409.580000000002</v>
      </c>
      <c r="I427" s="63">
        <v>1.571</v>
      </c>
      <c r="J427" s="42"/>
      <c r="K427" s="42"/>
      <c r="L427" s="42">
        <v>4828.07</v>
      </c>
      <c r="M427" s="63">
        <v>1.6160000000000001</v>
      </c>
      <c r="N427" s="42">
        <f t="shared" ref="N427:N487" si="329">L427*M427</f>
        <v>7802.1611199999998</v>
      </c>
      <c r="O427" s="42">
        <f t="shared" ref="O427:O487" si="330">ROUND(C427*N427,0)</f>
        <v>0</v>
      </c>
      <c r="P427" s="42">
        <f t="shared" si="323"/>
        <v>7802.1611199999998</v>
      </c>
      <c r="Q427" s="58"/>
      <c r="R427" s="42">
        <f t="shared" si="324"/>
        <v>0</v>
      </c>
      <c r="S427" s="42"/>
      <c r="T427" s="168"/>
    </row>
    <row r="428" spans="1:20" hidden="1" x14ac:dyDescent="0.25">
      <c r="A428" s="61"/>
      <c r="B428" s="51" t="s">
        <v>27</v>
      </c>
      <c r="C428" s="42"/>
      <c r="D428" s="42"/>
      <c r="E428" s="42">
        <f t="shared" si="319"/>
        <v>0</v>
      </c>
      <c r="F428" s="42">
        <f t="shared" si="328"/>
        <v>0</v>
      </c>
      <c r="G428" s="42"/>
      <c r="H428" s="63">
        <v>16409.580000000002</v>
      </c>
      <c r="I428" s="63">
        <v>1.571</v>
      </c>
      <c r="J428" s="42"/>
      <c r="K428" s="42"/>
      <c r="L428" s="42">
        <v>4828.07</v>
      </c>
      <c r="M428" s="63">
        <v>1.6160000000000001</v>
      </c>
      <c r="N428" s="42">
        <f t="shared" si="329"/>
        <v>7802.1611199999998</v>
      </c>
      <c r="O428" s="42">
        <f t="shared" si="330"/>
        <v>0</v>
      </c>
      <c r="P428" s="42">
        <f t="shared" si="323"/>
        <v>7802.1611199999998</v>
      </c>
      <c r="Q428" s="58"/>
      <c r="R428" s="42">
        <f t="shared" si="324"/>
        <v>0</v>
      </c>
      <c r="S428" s="42"/>
      <c r="T428" s="168"/>
    </row>
    <row r="429" spans="1:20" hidden="1" x14ac:dyDescent="0.25">
      <c r="A429" s="61"/>
      <c r="B429" s="51" t="s">
        <v>28</v>
      </c>
      <c r="C429" s="42"/>
      <c r="D429" s="42"/>
      <c r="E429" s="42">
        <f t="shared" si="319"/>
        <v>0</v>
      </c>
      <c r="F429" s="42">
        <f t="shared" si="328"/>
        <v>0</v>
      </c>
      <c r="G429" s="42"/>
      <c r="H429" s="63">
        <v>16409.580000000002</v>
      </c>
      <c r="I429" s="63">
        <v>1.571</v>
      </c>
      <c r="J429" s="42"/>
      <c r="K429" s="42"/>
      <c r="L429" s="42">
        <v>4828.07</v>
      </c>
      <c r="M429" s="63">
        <v>1.6160000000000001</v>
      </c>
      <c r="N429" s="42">
        <f t="shared" si="329"/>
        <v>7802.1611199999998</v>
      </c>
      <c r="O429" s="42">
        <f t="shared" si="330"/>
        <v>0</v>
      </c>
      <c r="P429" s="42">
        <f t="shared" si="323"/>
        <v>7802.1611199999998</v>
      </c>
      <c r="Q429" s="58"/>
      <c r="R429" s="42">
        <f t="shared" si="324"/>
        <v>0</v>
      </c>
      <c r="S429" s="42"/>
      <c r="T429" s="168"/>
    </row>
    <row r="430" spans="1:20" hidden="1" x14ac:dyDescent="0.25">
      <c r="A430" s="61"/>
      <c r="B430" s="51" t="s">
        <v>29</v>
      </c>
      <c r="C430" s="42"/>
      <c r="D430" s="42"/>
      <c r="E430" s="42">
        <f t="shared" si="319"/>
        <v>0</v>
      </c>
      <c r="F430" s="42">
        <f t="shared" si="328"/>
        <v>0</v>
      </c>
      <c r="G430" s="42"/>
      <c r="H430" s="63">
        <v>16409.580000000002</v>
      </c>
      <c r="I430" s="63">
        <v>1.571</v>
      </c>
      <c r="J430" s="42"/>
      <c r="K430" s="42"/>
      <c r="L430" s="42">
        <v>4828.07</v>
      </c>
      <c r="M430" s="63">
        <v>1.6160000000000001</v>
      </c>
      <c r="N430" s="42">
        <f t="shared" si="329"/>
        <v>7802.1611199999998</v>
      </c>
      <c r="O430" s="42">
        <f t="shared" si="330"/>
        <v>0</v>
      </c>
      <c r="P430" s="42">
        <f t="shared" si="323"/>
        <v>7802.1611199999998</v>
      </c>
      <c r="Q430" s="58"/>
      <c r="R430" s="42">
        <f t="shared" si="324"/>
        <v>0</v>
      </c>
      <c r="S430" s="42"/>
      <c r="T430" s="168"/>
    </row>
    <row r="431" spans="1:20" ht="51.75" hidden="1" x14ac:dyDescent="0.25">
      <c r="A431" s="61" t="s">
        <v>63</v>
      </c>
      <c r="B431" s="51" t="s">
        <v>58</v>
      </c>
      <c r="C431" s="42"/>
      <c r="D431" s="42"/>
      <c r="E431" s="42">
        <f t="shared" si="319"/>
        <v>0</v>
      </c>
      <c r="F431" s="42">
        <f t="shared" si="328"/>
        <v>0</v>
      </c>
      <c r="G431" s="42"/>
      <c r="H431" s="63">
        <v>16409.580000000002</v>
      </c>
      <c r="I431" s="63">
        <v>1.571</v>
      </c>
      <c r="J431" s="42"/>
      <c r="K431" s="42"/>
      <c r="L431" s="42">
        <v>4828.07</v>
      </c>
      <c r="M431" s="63">
        <v>1.6160000000000001</v>
      </c>
      <c r="N431" s="42">
        <f t="shared" si="329"/>
        <v>7802.1611199999998</v>
      </c>
      <c r="O431" s="42">
        <f t="shared" si="330"/>
        <v>0</v>
      </c>
      <c r="P431" s="42">
        <f t="shared" si="323"/>
        <v>7802.1611199999998</v>
      </c>
      <c r="Q431" s="58"/>
      <c r="R431" s="42">
        <f t="shared" si="324"/>
        <v>0</v>
      </c>
      <c r="S431" s="42"/>
      <c r="T431" s="168"/>
    </row>
    <row r="432" spans="1:20" hidden="1" x14ac:dyDescent="0.25">
      <c r="A432" s="61"/>
      <c r="B432" s="51" t="s">
        <v>27</v>
      </c>
      <c r="C432" s="42"/>
      <c r="D432" s="42"/>
      <c r="E432" s="42">
        <f t="shared" si="319"/>
        <v>0</v>
      </c>
      <c r="F432" s="42">
        <f t="shared" si="328"/>
        <v>0</v>
      </c>
      <c r="G432" s="42"/>
      <c r="H432" s="63">
        <v>16409.580000000002</v>
      </c>
      <c r="I432" s="63">
        <v>1.571</v>
      </c>
      <c r="J432" s="42"/>
      <c r="K432" s="42"/>
      <c r="L432" s="42">
        <v>4828.07</v>
      </c>
      <c r="M432" s="63">
        <v>1.6160000000000001</v>
      </c>
      <c r="N432" s="42">
        <f t="shared" si="329"/>
        <v>7802.1611199999998</v>
      </c>
      <c r="O432" s="42">
        <f t="shared" si="330"/>
        <v>0</v>
      </c>
      <c r="P432" s="42">
        <f t="shared" si="323"/>
        <v>7802.1611199999998</v>
      </c>
      <c r="Q432" s="58"/>
      <c r="R432" s="42">
        <f t="shared" si="324"/>
        <v>0</v>
      </c>
      <c r="S432" s="42"/>
      <c r="T432" s="168"/>
    </row>
    <row r="433" spans="1:23" hidden="1" x14ac:dyDescent="0.25">
      <c r="A433" s="61"/>
      <c r="B433" s="51" t="s">
        <v>28</v>
      </c>
      <c r="C433" s="42"/>
      <c r="D433" s="42"/>
      <c r="E433" s="42">
        <f t="shared" si="319"/>
        <v>0</v>
      </c>
      <c r="F433" s="42">
        <f t="shared" si="328"/>
        <v>0</v>
      </c>
      <c r="G433" s="42"/>
      <c r="H433" s="63">
        <v>16409.580000000002</v>
      </c>
      <c r="I433" s="63">
        <v>1.571</v>
      </c>
      <c r="J433" s="42"/>
      <c r="K433" s="42"/>
      <c r="L433" s="42">
        <v>4828.07</v>
      </c>
      <c r="M433" s="63">
        <v>1.6160000000000001</v>
      </c>
      <c r="N433" s="42">
        <f t="shared" si="329"/>
        <v>7802.1611199999998</v>
      </c>
      <c r="O433" s="42">
        <f t="shared" si="330"/>
        <v>0</v>
      </c>
      <c r="P433" s="42">
        <f t="shared" si="323"/>
        <v>7802.1611199999998</v>
      </c>
      <c r="Q433" s="58"/>
      <c r="R433" s="42">
        <f t="shared" si="324"/>
        <v>0</v>
      </c>
      <c r="S433" s="42"/>
      <c r="T433" s="168"/>
    </row>
    <row r="434" spans="1:23" hidden="1" x14ac:dyDescent="0.25">
      <c r="A434" s="61"/>
      <c r="B434" s="51" t="s">
        <v>29</v>
      </c>
      <c r="C434" s="42"/>
      <c r="D434" s="42"/>
      <c r="E434" s="42">
        <f t="shared" si="319"/>
        <v>0</v>
      </c>
      <c r="F434" s="42">
        <f t="shared" si="328"/>
        <v>0</v>
      </c>
      <c r="G434" s="42"/>
      <c r="H434" s="63">
        <v>16409.580000000002</v>
      </c>
      <c r="I434" s="63">
        <v>1.571</v>
      </c>
      <c r="J434" s="42"/>
      <c r="K434" s="42"/>
      <c r="L434" s="42">
        <v>4828.07</v>
      </c>
      <c r="M434" s="63">
        <v>1.6160000000000001</v>
      </c>
      <c r="N434" s="42">
        <f t="shared" si="329"/>
        <v>7802.1611199999998</v>
      </c>
      <c r="O434" s="42">
        <f t="shared" si="330"/>
        <v>0</v>
      </c>
      <c r="P434" s="42">
        <f t="shared" si="323"/>
        <v>7802.1611199999998</v>
      </c>
      <c r="Q434" s="58"/>
      <c r="R434" s="42">
        <f t="shared" si="324"/>
        <v>0</v>
      </c>
      <c r="S434" s="42"/>
      <c r="T434" s="168"/>
    </row>
    <row r="435" spans="1:23" ht="39" hidden="1" x14ac:dyDescent="0.25">
      <c r="A435" s="61" t="s">
        <v>64</v>
      </c>
      <c r="B435" s="51" t="s">
        <v>30</v>
      </c>
      <c r="C435" s="42"/>
      <c r="D435" s="42"/>
      <c r="E435" s="42">
        <f t="shared" si="319"/>
        <v>0</v>
      </c>
      <c r="F435" s="42">
        <f t="shared" si="328"/>
        <v>0</v>
      </c>
      <c r="G435" s="42"/>
      <c r="H435" s="63">
        <v>16409.580000000002</v>
      </c>
      <c r="I435" s="63">
        <v>1.571</v>
      </c>
      <c r="J435" s="42"/>
      <c r="K435" s="42"/>
      <c r="L435" s="42">
        <v>4828.07</v>
      </c>
      <c r="M435" s="63">
        <v>1.6160000000000001</v>
      </c>
      <c r="N435" s="42">
        <f t="shared" si="329"/>
        <v>7802.1611199999998</v>
      </c>
      <c r="O435" s="42">
        <f t="shared" si="330"/>
        <v>0</v>
      </c>
      <c r="P435" s="42">
        <f t="shared" si="323"/>
        <v>7802.1611199999998</v>
      </c>
      <c r="Q435" s="58"/>
      <c r="R435" s="42">
        <f t="shared" si="324"/>
        <v>0</v>
      </c>
      <c r="S435" s="42"/>
      <c r="T435" s="168"/>
    </row>
    <row r="436" spans="1:23" hidden="1" x14ac:dyDescent="0.25">
      <c r="A436" s="61"/>
      <c r="B436" s="51" t="s">
        <v>27</v>
      </c>
      <c r="C436" s="42"/>
      <c r="D436" s="42"/>
      <c r="E436" s="42">
        <f t="shared" si="319"/>
        <v>0</v>
      </c>
      <c r="F436" s="42">
        <f t="shared" si="328"/>
        <v>0</v>
      </c>
      <c r="G436" s="42"/>
      <c r="H436" s="63">
        <v>16409.580000000002</v>
      </c>
      <c r="I436" s="63">
        <v>1.571</v>
      </c>
      <c r="J436" s="42"/>
      <c r="K436" s="42"/>
      <c r="L436" s="42">
        <v>4828.07</v>
      </c>
      <c r="M436" s="63">
        <v>1.6160000000000001</v>
      </c>
      <c r="N436" s="42">
        <f t="shared" si="329"/>
        <v>7802.1611199999998</v>
      </c>
      <c r="O436" s="42">
        <f t="shared" si="330"/>
        <v>0</v>
      </c>
      <c r="P436" s="42">
        <f t="shared" si="323"/>
        <v>7802.1611199999998</v>
      </c>
      <c r="Q436" s="58"/>
      <c r="R436" s="42">
        <f t="shared" si="324"/>
        <v>0</v>
      </c>
      <c r="S436" s="42"/>
      <c r="T436" s="168"/>
    </row>
    <row r="437" spans="1:23" hidden="1" x14ac:dyDescent="0.25">
      <c r="A437" s="61"/>
      <c r="B437" s="51" t="s">
        <v>28</v>
      </c>
      <c r="C437" s="42"/>
      <c r="D437" s="42"/>
      <c r="E437" s="42">
        <f t="shared" si="319"/>
        <v>0</v>
      </c>
      <c r="F437" s="42">
        <f t="shared" si="328"/>
        <v>0</v>
      </c>
      <c r="G437" s="42"/>
      <c r="H437" s="63">
        <v>16409.580000000002</v>
      </c>
      <c r="I437" s="63">
        <v>1.571</v>
      </c>
      <c r="J437" s="42"/>
      <c r="K437" s="42"/>
      <c r="L437" s="42">
        <v>4828.07</v>
      </c>
      <c r="M437" s="63">
        <v>1.6160000000000001</v>
      </c>
      <c r="N437" s="42">
        <f t="shared" si="329"/>
        <v>7802.1611199999998</v>
      </c>
      <c r="O437" s="42">
        <f t="shared" si="330"/>
        <v>0</v>
      </c>
      <c r="P437" s="42">
        <f t="shared" si="323"/>
        <v>7802.1611199999998</v>
      </c>
      <c r="Q437" s="58"/>
      <c r="R437" s="42">
        <f t="shared" si="324"/>
        <v>0</v>
      </c>
      <c r="S437" s="42"/>
      <c r="T437" s="168"/>
    </row>
    <row r="438" spans="1:23" hidden="1" x14ac:dyDescent="0.25">
      <c r="A438" s="61"/>
      <c r="B438" s="51" t="s">
        <v>29</v>
      </c>
      <c r="C438" s="42"/>
      <c r="D438" s="42"/>
      <c r="E438" s="42">
        <f t="shared" si="319"/>
        <v>0</v>
      </c>
      <c r="F438" s="42">
        <f t="shared" si="328"/>
        <v>0</v>
      </c>
      <c r="G438" s="42"/>
      <c r="H438" s="63">
        <v>16409.580000000002</v>
      </c>
      <c r="I438" s="63">
        <v>1.571</v>
      </c>
      <c r="J438" s="42"/>
      <c r="K438" s="42"/>
      <c r="L438" s="42">
        <v>4828.07</v>
      </c>
      <c r="M438" s="63">
        <v>1.6160000000000001</v>
      </c>
      <c r="N438" s="42">
        <f t="shared" si="329"/>
        <v>7802.1611199999998</v>
      </c>
      <c r="O438" s="42">
        <f t="shared" si="330"/>
        <v>0</v>
      </c>
      <c r="P438" s="42">
        <f t="shared" si="323"/>
        <v>7802.1611199999998</v>
      </c>
      <c r="Q438" s="58"/>
      <c r="R438" s="42">
        <f t="shared" si="324"/>
        <v>0</v>
      </c>
      <c r="S438" s="42"/>
      <c r="T438" s="168"/>
    </row>
    <row r="439" spans="1:23" ht="39" hidden="1" x14ac:dyDescent="0.25">
      <c r="A439" s="61"/>
      <c r="B439" s="51" t="s">
        <v>9</v>
      </c>
      <c r="C439" s="42"/>
      <c r="D439" s="42"/>
      <c r="E439" s="42">
        <f t="shared" si="319"/>
        <v>0</v>
      </c>
      <c r="F439" s="42">
        <f t="shared" si="328"/>
        <v>0</v>
      </c>
      <c r="G439" s="42"/>
      <c r="H439" s="63">
        <v>16409.580000000002</v>
      </c>
      <c r="I439" s="63">
        <v>1.571</v>
      </c>
      <c r="J439" s="42"/>
      <c r="K439" s="42"/>
      <c r="L439" s="42">
        <v>4828.07</v>
      </c>
      <c r="M439" s="63">
        <v>1.6160000000000001</v>
      </c>
      <c r="N439" s="42">
        <f t="shared" si="329"/>
        <v>7802.1611199999998</v>
      </c>
      <c r="O439" s="42">
        <f t="shared" si="330"/>
        <v>0</v>
      </c>
      <c r="P439" s="42">
        <f t="shared" si="323"/>
        <v>7802.1611199999998</v>
      </c>
      <c r="Q439" s="58"/>
      <c r="R439" s="42">
        <f t="shared" si="324"/>
        <v>0</v>
      </c>
      <c r="S439" s="42"/>
      <c r="T439" s="168"/>
    </row>
    <row r="440" spans="1:23" ht="39" hidden="1" x14ac:dyDescent="0.25">
      <c r="A440" s="61"/>
      <c r="B440" s="51" t="s">
        <v>11</v>
      </c>
      <c r="C440" s="42"/>
      <c r="D440" s="42"/>
      <c r="E440" s="42">
        <f t="shared" si="319"/>
        <v>0</v>
      </c>
      <c r="F440" s="42">
        <f t="shared" si="328"/>
        <v>0</v>
      </c>
      <c r="G440" s="42"/>
      <c r="H440" s="63">
        <v>16409.580000000002</v>
      </c>
      <c r="I440" s="63">
        <v>1.571</v>
      </c>
      <c r="J440" s="42"/>
      <c r="K440" s="42"/>
      <c r="L440" s="42">
        <v>4828.07</v>
      </c>
      <c r="M440" s="63">
        <v>1.6160000000000001</v>
      </c>
      <c r="N440" s="42">
        <f t="shared" si="329"/>
        <v>7802.1611199999998</v>
      </c>
      <c r="O440" s="42">
        <f t="shared" si="330"/>
        <v>0</v>
      </c>
      <c r="P440" s="42">
        <f t="shared" si="323"/>
        <v>7802.1611199999998</v>
      </c>
      <c r="Q440" s="58"/>
      <c r="R440" s="42">
        <f t="shared" si="324"/>
        <v>0</v>
      </c>
      <c r="S440" s="42"/>
      <c r="T440" s="168"/>
    </row>
    <row r="441" spans="1:23" hidden="1" x14ac:dyDescent="0.25">
      <c r="A441" s="61"/>
      <c r="B441" s="51" t="s">
        <v>13</v>
      </c>
      <c r="C441" s="42"/>
      <c r="D441" s="42"/>
      <c r="E441" s="42">
        <f t="shared" si="319"/>
        <v>0</v>
      </c>
      <c r="F441" s="42">
        <f t="shared" si="328"/>
        <v>0</v>
      </c>
      <c r="G441" s="42"/>
      <c r="H441" s="63">
        <v>16409.580000000002</v>
      </c>
      <c r="I441" s="63">
        <v>1.571</v>
      </c>
      <c r="J441" s="42"/>
      <c r="K441" s="42"/>
      <c r="L441" s="42">
        <v>4828.07</v>
      </c>
      <c r="M441" s="63">
        <v>1.6160000000000001</v>
      </c>
      <c r="N441" s="42">
        <f t="shared" si="329"/>
        <v>7802.1611199999998</v>
      </c>
      <c r="O441" s="42">
        <f t="shared" si="330"/>
        <v>0</v>
      </c>
      <c r="P441" s="42">
        <f t="shared" si="323"/>
        <v>7802.1611199999998</v>
      </c>
      <c r="Q441" s="58"/>
      <c r="R441" s="42">
        <f t="shared" si="324"/>
        <v>0</v>
      </c>
      <c r="S441" s="42"/>
      <c r="T441" s="168"/>
    </row>
    <row r="442" spans="1:23" hidden="1" x14ac:dyDescent="0.25">
      <c r="A442" s="61"/>
      <c r="B442" s="61" t="s">
        <v>14</v>
      </c>
      <c r="C442" s="42"/>
      <c r="D442" s="42"/>
      <c r="E442" s="42">
        <f t="shared" si="319"/>
        <v>0</v>
      </c>
      <c r="F442" s="42">
        <f t="shared" si="328"/>
        <v>0</v>
      </c>
      <c r="G442" s="42"/>
      <c r="H442" s="63">
        <v>16409.580000000002</v>
      </c>
      <c r="I442" s="63">
        <v>1.571</v>
      </c>
      <c r="J442" s="42"/>
      <c r="K442" s="42"/>
      <c r="L442" s="42">
        <v>4828.07</v>
      </c>
      <c r="M442" s="63">
        <v>1.6160000000000001</v>
      </c>
      <c r="N442" s="42">
        <f t="shared" si="329"/>
        <v>7802.1611199999998</v>
      </c>
      <c r="O442" s="42">
        <f t="shared" si="330"/>
        <v>0</v>
      </c>
      <c r="P442" s="42">
        <f t="shared" si="323"/>
        <v>7802.1611199999998</v>
      </c>
      <c r="Q442" s="58"/>
      <c r="R442" s="42">
        <f t="shared" si="324"/>
        <v>0</v>
      </c>
      <c r="S442" s="42"/>
      <c r="T442" s="168"/>
    </row>
    <row r="443" spans="1:23" hidden="1" x14ac:dyDescent="0.25">
      <c r="A443" s="61"/>
      <c r="B443" s="61" t="s">
        <v>17</v>
      </c>
      <c r="C443" s="42"/>
      <c r="D443" s="42"/>
      <c r="E443" s="42">
        <f t="shared" si="319"/>
        <v>0</v>
      </c>
      <c r="F443" s="42">
        <f t="shared" si="328"/>
        <v>0</v>
      </c>
      <c r="G443" s="42"/>
      <c r="H443" s="63">
        <v>16409.580000000002</v>
      </c>
      <c r="I443" s="63">
        <v>1.571</v>
      </c>
      <c r="J443" s="42"/>
      <c r="K443" s="42"/>
      <c r="L443" s="42">
        <v>4828.07</v>
      </c>
      <c r="M443" s="63">
        <v>1.6160000000000001</v>
      </c>
      <c r="N443" s="42">
        <f t="shared" si="329"/>
        <v>7802.1611199999998</v>
      </c>
      <c r="O443" s="42">
        <f t="shared" si="330"/>
        <v>0</v>
      </c>
      <c r="P443" s="42">
        <f t="shared" si="323"/>
        <v>7802.1611199999998</v>
      </c>
      <c r="Q443" s="58"/>
      <c r="R443" s="42">
        <f t="shared" si="324"/>
        <v>0</v>
      </c>
      <c r="S443" s="42"/>
      <c r="T443" s="168"/>
    </row>
    <row r="444" spans="1:23" hidden="1" x14ac:dyDescent="0.25">
      <c r="A444" s="61"/>
      <c r="B444" s="61" t="s">
        <v>14</v>
      </c>
      <c r="C444" s="42"/>
      <c r="D444" s="42"/>
      <c r="E444" s="42">
        <f t="shared" si="319"/>
        <v>0</v>
      </c>
      <c r="F444" s="42">
        <f t="shared" si="328"/>
        <v>0</v>
      </c>
      <c r="G444" s="42"/>
      <c r="H444" s="63">
        <v>16409.580000000002</v>
      </c>
      <c r="I444" s="63">
        <v>1.571</v>
      </c>
      <c r="J444" s="42"/>
      <c r="K444" s="42"/>
      <c r="L444" s="42">
        <v>4828.07</v>
      </c>
      <c r="M444" s="63">
        <v>1.6160000000000001</v>
      </c>
      <c r="N444" s="42">
        <f t="shared" si="329"/>
        <v>7802.1611199999998</v>
      </c>
      <c r="O444" s="42">
        <f t="shared" si="330"/>
        <v>0</v>
      </c>
      <c r="P444" s="42">
        <f t="shared" si="323"/>
        <v>7802.1611199999998</v>
      </c>
      <c r="Q444" s="58"/>
      <c r="R444" s="42">
        <f t="shared" si="324"/>
        <v>0</v>
      </c>
      <c r="S444" s="42"/>
      <c r="T444" s="168"/>
    </row>
    <row r="445" spans="1:23" x14ac:dyDescent="0.25">
      <c r="A445" s="65"/>
      <c r="B445" s="51" t="s">
        <v>13</v>
      </c>
      <c r="C445" s="42">
        <v>96</v>
      </c>
      <c r="D445" s="42"/>
      <c r="E445" s="42"/>
      <c r="F445" s="42"/>
      <c r="G445" s="42"/>
      <c r="H445" s="42"/>
      <c r="I445" s="42"/>
      <c r="J445" s="42"/>
      <c r="K445" s="42"/>
      <c r="L445" s="63">
        <v>4769.12</v>
      </c>
      <c r="M445" s="63">
        <v>1.48</v>
      </c>
      <c r="N445" s="42">
        <f t="shared" si="329"/>
        <v>7058.2975999999999</v>
      </c>
      <c r="O445" s="42">
        <f t="shared" si="330"/>
        <v>677597</v>
      </c>
      <c r="P445" s="42">
        <f t="shared" si="323"/>
        <v>7058.2975999999999</v>
      </c>
      <c r="Q445" s="58"/>
      <c r="R445" s="42">
        <f t="shared" si="324"/>
        <v>677597</v>
      </c>
      <c r="S445" s="42"/>
      <c r="T445" s="168"/>
    </row>
    <row r="446" spans="1:23" s="60" customFormat="1" hidden="1" x14ac:dyDescent="0.25">
      <c r="A446" s="56"/>
      <c r="B446" s="51" t="s">
        <v>27</v>
      </c>
      <c r="C446" s="58"/>
      <c r="D446" s="58"/>
      <c r="E446" s="58"/>
      <c r="F446" s="42"/>
      <c r="G446" s="58"/>
      <c r="H446" s="58"/>
      <c r="I446" s="58"/>
      <c r="J446" s="42"/>
      <c r="K446" s="42"/>
      <c r="L446" s="42">
        <v>4828.07</v>
      </c>
      <c r="M446" s="63">
        <v>1.6160000000000001</v>
      </c>
      <c r="N446" s="42">
        <f t="shared" si="329"/>
        <v>7802.1611199999998</v>
      </c>
      <c r="O446" s="42">
        <f t="shared" si="330"/>
        <v>0</v>
      </c>
      <c r="P446" s="42"/>
      <c r="Q446" s="58"/>
      <c r="R446" s="42"/>
      <c r="S446" s="58"/>
      <c r="T446" s="168"/>
      <c r="U446" s="68"/>
      <c r="V446" s="66"/>
      <c r="W446" s="66"/>
    </row>
    <row r="447" spans="1:23" hidden="1" x14ac:dyDescent="0.25">
      <c r="A447" s="61"/>
      <c r="B447" s="51" t="s">
        <v>28</v>
      </c>
      <c r="C447" s="42"/>
      <c r="D447" s="42"/>
      <c r="E447" s="42"/>
      <c r="F447" s="42"/>
      <c r="G447" s="42"/>
      <c r="H447" s="42"/>
      <c r="I447" s="42"/>
      <c r="J447" s="42"/>
      <c r="K447" s="42"/>
      <c r="L447" s="42">
        <v>4828.07</v>
      </c>
      <c r="M447" s="63">
        <v>1.6160000000000001</v>
      </c>
      <c r="N447" s="42">
        <f t="shared" si="329"/>
        <v>7802.1611199999998</v>
      </c>
      <c r="O447" s="42">
        <f t="shared" si="330"/>
        <v>0</v>
      </c>
      <c r="P447" s="42"/>
      <c r="Q447" s="58"/>
      <c r="R447" s="42"/>
      <c r="S447" s="42"/>
      <c r="T447" s="168"/>
    </row>
    <row r="448" spans="1:23" hidden="1" x14ac:dyDescent="0.25">
      <c r="A448" s="61"/>
      <c r="B448" s="51" t="s">
        <v>29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>
        <v>4828.07</v>
      </c>
      <c r="M448" s="63">
        <v>1.6160000000000001</v>
      </c>
      <c r="N448" s="42">
        <f t="shared" si="329"/>
        <v>7802.1611199999998</v>
      </c>
      <c r="O448" s="42">
        <f t="shared" si="330"/>
        <v>0</v>
      </c>
      <c r="P448" s="42"/>
      <c r="Q448" s="58"/>
      <c r="R448" s="42"/>
      <c r="S448" s="42"/>
      <c r="T448" s="168"/>
    </row>
    <row r="449" spans="1:21" s="66" customFormat="1" hidden="1" x14ac:dyDescent="0.25">
      <c r="B449" s="8" t="s">
        <v>71</v>
      </c>
      <c r="C449" s="67"/>
      <c r="D449" s="67"/>
      <c r="E449" s="67"/>
      <c r="F449" s="67"/>
      <c r="G449" s="67"/>
      <c r="H449" s="67"/>
      <c r="I449" s="67"/>
      <c r="J449" s="67"/>
      <c r="K449" s="42"/>
      <c r="L449" s="42">
        <v>4828.07</v>
      </c>
      <c r="M449" s="63">
        <v>1.6160000000000001</v>
      </c>
      <c r="N449" s="42">
        <f t="shared" si="329"/>
        <v>7802.1611199999998</v>
      </c>
      <c r="O449" s="42">
        <f t="shared" si="330"/>
        <v>0</v>
      </c>
      <c r="P449" s="42"/>
      <c r="Q449" s="58"/>
      <c r="R449" s="67"/>
      <c r="S449" s="67"/>
      <c r="T449" s="67"/>
      <c r="U449" s="68"/>
    </row>
    <row r="450" spans="1:21" ht="39" hidden="1" x14ac:dyDescent="0.25">
      <c r="A450" s="61" t="s">
        <v>15</v>
      </c>
      <c r="B450" s="51" t="s">
        <v>54</v>
      </c>
      <c r="C450" s="42"/>
      <c r="D450" s="42"/>
      <c r="E450" s="42"/>
      <c r="F450" s="42"/>
      <c r="G450" s="42"/>
      <c r="H450" s="42"/>
      <c r="I450" s="42"/>
      <c r="J450" s="42"/>
      <c r="K450" s="42"/>
      <c r="L450" s="42">
        <v>4828.07</v>
      </c>
      <c r="M450" s="63">
        <v>1.6160000000000001</v>
      </c>
      <c r="N450" s="42">
        <f t="shared" si="329"/>
        <v>7802.1611199999998</v>
      </c>
      <c r="O450" s="42">
        <f t="shared" si="330"/>
        <v>0</v>
      </c>
      <c r="P450" s="42"/>
      <c r="Q450" s="58"/>
      <c r="R450" s="42"/>
      <c r="S450" s="42"/>
      <c r="T450" s="169"/>
    </row>
    <row r="451" spans="1:21" hidden="1" x14ac:dyDescent="0.25">
      <c r="A451" s="61"/>
      <c r="B451" s="51" t="s">
        <v>27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>
        <v>4828.07</v>
      </c>
      <c r="M451" s="63">
        <v>1.6160000000000001</v>
      </c>
      <c r="N451" s="42">
        <f t="shared" si="329"/>
        <v>7802.1611199999998</v>
      </c>
      <c r="O451" s="42">
        <f t="shared" si="330"/>
        <v>0</v>
      </c>
      <c r="P451" s="42"/>
      <c r="Q451" s="58"/>
      <c r="R451" s="42"/>
      <c r="S451" s="42"/>
      <c r="T451" s="169"/>
    </row>
    <row r="452" spans="1:21" hidden="1" x14ac:dyDescent="0.25">
      <c r="A452" s="61"/>
      <c r="B452" s="51" t="s">
        <v>28</v>
      </c>
      <c r="C452" s="42"/>
      <c r="D452" s="42"/>
      <c r="E452" s="42"/>
      <c r="F452" s="42"/>
      <c r="G452" s="42"/>
      <c r="H452" s="42"/>
      <c r="I452" s="42"/>
      <c r="J452" s="42"/>
      <c r="K452" s="42"/>
      <c r="L452" s="42">
        <v>4828.07</v>
      </c>
      <c r="M452" s="63">
        <v>1.6160000000000001</v>
      </c>
      <c r="N452" s="42">
        <f t="shared" si="329"/>
        <v>7802.1611199999998</v>
      </c>
      <c r="O452" s="42">
        <f t="shared" si="330"/>
        <v>0</v>
      </c>
      <c r="P452" s="42"/>
      <c r="Q452" s="58"/>
      <c r="R452" s="42"/>
      <c r="S452" s="42"/>
      <c r="T452" s="169"/>
    </row>
    <row r="453" spans="1:21" hidden="1" x14ac:dyDescent="0.25">
      <c r="A453" s="61"/>
      <c r="B453" s="51" t="s">
        <v>29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>
        <v>4828.07</v>
      </c>
      <c r="M453" s="63">
        <v>1.6160000000000001</v>
      </c>
      <c r="N453" s="42">
        <f t="shared" si="329"/>
        <v>7802.1611199999998</v>
      </c>
      <c r="O453" s="42">
        <f t="shared" si="330"/>
        <v>0</v>
      </c>
      <c r="P453" s="42"/>
      <c r="Q453" s="58"/>
      <c r="R453" s="42"/>
      <c r="S453" s="42"/>
      <c r="T453" s="169"/>
    </row>
    <row r="454" spans="1:21" ht="39" hidden="1" x14ac:dyDescent="0.25">
      <c r="A454" s="61" t="s">
        <v>59</v>
      </c>
      <c r="B454" s="51" t="s">
        <v>68</v>
      </c>
      <c r="C454" s="42"/>
      <c r="D454" s="42"/>
      <c r="E454" s="42"/>
      <c r="F454" s="42"/>
      <c r="G454" s="42"/>
      <c r="H454" s="42"/>
      <c r="I454" s="42"/>
      <c r="J454" s="42"/>
      <c r="K454" s="42"/>
      <c r="L454" s="42">
        <v>4828.07</v>
      </c>
      <c r="M454" s="63">
        <v>1.6160000000000001</v>
      </c>
      <c r="N454" s="42">
        <f t="shared" si="329"/>
        <v>7802.1611199999998</v>
      </c>
      <c r="O454" s="42">
        <f t="shared" si="330"/>
        <v>0</v>
      </c>
      <c r="P454" s="42"/>
      <c r="Q454" s="58"/>
      <c r="R454" s="42"/>
      <c r="S454" s="42"/>
      <c r="T454" s="169"/>
    </row>
    <row r="455" spans="1:21" hidden="1" x14ac:dyDescent="0.25">
      <c r="A455" s="61"/>
      <c r="B455" s="51" t="s">
        <v>27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42">
        <v>4828.07</v>
      </c>
      <c r="M455" s="63">
        <v>1.6160000000000001</v>
      </c>
      <c r="N455" s="42">
        <f t="shared" si="329"/>
        <v>7802.1611199999998</v>
      </c>
      <c r="O455" s="42">
        <f t="shared" si="330"/>
        <v>0</v>
      </c>
      <c r="P455" s="42"/>
      <c r="Q455" s="58"/>
      <c r="R455" s="42"/>
      <c r="S455" s="42"/>
      <c r="T455" s="169"/>
    </row>
    <row r="456" spans="1:21" hidden="1" x14ac:dyDescent="0.25">
      <c r="A456" s="61"/>
      <c r="B456" s="51" t="s">
        <v>28</v>
      </c>
      <c r="C456" s="42"/>
      <c r="D456" s="42"/>
      <c r="E456" s="42"/>
      <c r="F456" s="42"/>
      <c r="G456" s="42"/>
      <c r="H456" s="42"/>
      <c r="I456" s="42"/>
      <c r="J456" s="42"/>
      <c r="K456" s="42"/>
      <c r="L456" s="42">
        <v>4828.07</v>
      </c>
      <c r="M456" s="63">
        <v>1.6160000000000001</v>
      </c>
      <c r="N456" s="42">
        <f t="shared" si="329"/>
        <v>7802.1611199999998</v>
      </c>
      <c r="O456" s="42">
        <f t="shared" si="330"/>
        <v>0</v>
      </c>
      <c r="P456" s="42"/>
      <c r="Q456" s="58"/>
      <c r="R456" s="42"/>
      <c r="S456" s="42"/>
      <c r="T456" s="169"/>
    </row>
    <row r="457" spans="1:21" hidden="1" x14ac:dyDescent="0.25">
      <c r="A457" s="61"/>
      <c r="B457" s="51" t="s">
        <v>29</v>
      </c>
      <c r="C457" s="42"/>
      <c r="D457" s="42"/>
      <c r="E457" s="42"/>
      <c r="F457" s="42"/>
      <c r="G457" s="42"/>
      <c r="H457" s="42"/>
      <c r="I457" s="42"/>
      <c r="J457" s="42"/>
      <c r="K457" s="42"/>
      <c r="L457" s="42">
        <v>4828.07</v>
      </c>
      <c r="M457" s="63">
        <v>1.6160000000000001</v>
      </c>
      <c r="N457" s="42">
        <f t="shared" si="329"/>
        <v>7802.1611199999998</v>
      </c>
      <c r="O457" s="42">
        <f t="shared" si="330"/>
        <v>0</v>
      </c>
      <c r="P457" s="42"/>
      <c r="Q457" s="58"/>
      <c r="R457" s="42"/>
      <c r="S457" s="42"/>
      <c r="T457" s="169"/>
    </row>
    <row r="458" spans="1:21" ht="39" hidden="1" x14ac:dyDescent="0.25">
      <c r="A458" s="61" t="s">
        <v>60</v>
      </c>
      <c r="B458" s="51" t="s">
        <v>55</v>
      </c>
      <c r="C458" s="42"/>
      <c r="D458" s="42"/>
      <c r="E458" s="42"/>
      <c r="F458" s="42"/>
      <c r="G458" s="42"/>
      <c r="H458" s="42"/>
      <c r="I458" s="42"/>
      <c r="J458" s="42"/>
      <c r="K458" s="42"/>
      <c r="L458" s="42">
        <v>4828.07</v>
      </c>
      <c r="M458" s="63">
        <v>1.6160000000000001</v>
      </c>
      <c r="N458" s="42">
        <f t="shared" si="329"/>
        <v>7802.1611199999998</v>
      </c>
      <c r="O458" s="42">
        <f t="shared" si="330"/>
        <v>0</v>
      </c>
      <c r="P458" s="42"/>
      <c r="Q458" s="58"/>
      <c r="R458" s="42"/>
      <c r="S458" s="42"/>
      <c r="T458" s="169"/>
    </row>
    <row r="459" spans="1:21" hidden="1" x14ac:dyDescent="0.25">
      <c r="A459" s="61"/>
      <c r="B459" s="51" t="s">
        <v>27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>
        <v>4828.07</v>
      </c>
      <c r="M459" s="63">
        <v>1.6160000000000001</v>
      </c>
      <c r="N459" s="42">
        <f t="shared" si="329"/>
        <v>7802.1611199999998</v>
      </c>
      <c r="O459" s="42">
        <f t="shared" si="330"/>
        <v>0</v>
      </c>
      <c r="P459" s="42"/>
      <c r="Q459" s="58"/>
      <c r="R459" s="42"/>
      <c r="S459" s="42"/>
      <c r="T459" s="169"/>
    </row>
    <row r="460" spans="1:21" hidden="1" x14ac:dyDescent="0.25">
      <c r="A460" s="61"/>
      <c r="B460" s="51" t="s">
        <v>28</v>
      </c>
      <c r="C460" s="42"/>
      <c r="D460" s="42"/>
      <c r="E460" s="42"/>
      <c r="F460" s="42"/>
      <c r="G460" s="42"/>
      <c r="H460" s="42"/>
      <c r="I460" s="42"/>
      <c r="J460" s="42"/>
      <c r="K460" s="42"/>
      <c r="L460" s="42">
        <v>4828.07</v>
      </c>
      <c r="M460" s="63">
        <v>1.6160000000000001</v>
      </c>
      <c r="N460" s="42">
        <f t="shared" si="329"/>
        <v>7802.1611199999998</v>
      </c>
      <c r="O460" s="42">
        <f t="shared" si="330"/>
        <v>0</v>
      </c>
      <c r="P460" s="42"/>
      <c r="Q460" s="58"/>
      <c r="R460" s="42"/>
      <c r="S460" s="42"/>
      <c r="T460" s="169"/>
    </row>
    <row r="461" spans="1:21" hidden="1" x14ac:dyDescent="0.25">
      <c r="A461" s="61"/>
      <c r="B461" s="51" t="s">
        <v>29</v>
      </c>
      <c r="C461" s="42"/>
      <c r="D461" s="42"/>
      <c r="E461" s="42"/>
      <c r="F461" s="42"/>
      <c r="G461" s="42"/>
      <c r="H461" s="42"/>
      <c r="I461" s="42"/>
      <c r="J461" s="42"/>
      <c r="K461" s="42"/>
      <c r="L461" s="42">
        <v>4828.07</v>
      </c>
      <c r="M461" s="63">
        <v>1.6160000000000001</v>
      </c>
      <c r="N461" s="42">
        <f t="shared" si="329"/>
        <v>7802.1611199999998</v>
      </c>
      <c r="O461" s="42">
        <f t="shared" si="330"/>
        <v>0</v>
      </c>
      <c r="P461" s="42"/>
      <c r="Q461" s="58"/>
      <c r="R461" s="42"/>
      <c r="S461" s="42"/>
      <c r="T461" s="169"/>
    </row>
    <row r="462" spans="1:21" ht="39" hidden="1" x14ac:dyDescent="0.25">
      <c r="A462" s="61" t="s">
        <v>61</v>
      </c>
      <c r="B462" s="51" t="s">
        <v>56</v>
      </c>
      <c r="C462" s="42"/>
      <c r="D462" s="42"/>
      <c r="E462" s="42"/>
      <c r="F462" s="42"/>
      <c r="G462" s="42"/>
      <c r="H462" s="42"/>
      <c r="I462" s="42"/>
      <c r="J462" s="42"/>
      <c r="K462" s="42"/>
      <c r="L462" s="42">
        <v>4828.07</v>
      </c>
      <c r="M462" s="63">
        <v>1.6160000000000001</v>
      </c>
      <c r="N462" s="42">
        <f t="shared" si="329"/>
        <v>7802.1611199999998</v>
      </c>
      <c r="O462" s="42">
        <f t="shared" si="330"/>
        <v>0</v>
      </c>
      <c r="P462" s="42"/>
      <c r="Q462" s="58"/>
      <c r="R462" s="42"/>
      <c r="S462" s="42"/>
      <c r="T462" s="168"/>
    </row>
    <row r="463" spans="1:21" hidden="1" x14ac:dyDescent="0.25">
      <c r="A463" s="61"/>
      <c r="B463" s="51" t="s">
        <v>27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42">
        <v>4828.07</v>
      </c>
      <c r="M463" s="63">
        <v>1.6160000000000001</v>
      </c>
      <c r="N463" s="42">
        <f t="shared" si="329"/>
        <v>7802.1611199999998</v>
      </c>
      <c r="O463" s="42">
        <f t="shared" si="330"/>
        <v>0</v>
      </c>
      <c r="P463" s="42"/>
      <c r="Q463" s="58"/>
      <c r="R463" s="42"/>
      <c r="S463" s="42"/>
      <c r="T463" s="168"/>
    </row>
    <row r="464" spans="1:21" hidden="1" x14ac:dyDescent="0.25">
      <c r="A464" s="61"/>
      <c r="B464" s="51" t="s">
        <v>28</v>
      </c>
      <c r="C464" s="42"/>
      <c r="D464" s="42"/>
      <c r="E464" s="42"/>
      <c r="F464" s="42"/>
      <c r="G464" s="42"/>
      <c r="H464" s="42"/>
      <c r="I464" s="42"/>
      <c r="J464" s="42"/>
      <c r="K464" s="42"/>
      <c r="L464" s="42">
        <v>4828.07</v>
      </c>
      <c r="M464" s="63">
        <v>1.6160000000000001</v>
      </c>
      <c r="N464" s="42">
        <f t="shared" si="329"/>
        <v>7802.1611199999998</v>
      </c>
      <c r="O464" s="42">
        <f t="shared" si="330"/>
        <v>0</v>
      </c>
      <c r="P464" s="42"/>
      <c r="Q464" s="58"/>
      <c r="R464" s="42"/>
      <c r="S464" s="42"/>
      <c r="T464" s="168"/>
    </row>
    <row r="465" spans="1:20" hidden="1" x14ac:dyDescent="0.25">
      <c r="A465" s="61"/>
      <c r="B465" s="51" t="s">
        <v>29</v>
      </c>
      <c r="C465" s="42"/>
      <c r="D465" s="42"/>
      <c r="E465" s="42"/>
      <c r="F465" s="42"/>
      <c r="G465" s="42"/>
      <c r="H465" s="42"/>
      <c r="I465" s="42"/>
      <c r="J465" s="42"/>
      <c r="K465" s="42"/>
      <c r="L465" s="42">
        <v>4828.07</v>
      </c>
      <c r="M465" s="63">
        <v>1.6160000000000001</v>
      </c>
      <c r="N465" s="42">
        <f t="shared" si="329"/>
        <v>7802.1611199999998</v>
      </c>
      <c r="O465" s="42">
        <f t="shared" si="330"/>
        <v>0</v>
      </c>
      <c r="P465" s="42"/>
      <c r="Q465" s="58"/>
      <c r="R465" s="42"/>
      <c r="S465" s="42"/>
      <c r="T465" s="168"/>
    </row>
    <row r="466" spans="1:20" ht="51.75" hidden="1" x14ac:dyDescent="0.25">
      <c r="A466" s="61" t="s">
        <v>62</v>
      </c>
      <c r="B466" s="51" t="s">
        <v>57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>
        <v>4828.07</v>
      </c>
      <c r="M466" s="63">
        <v>1.6160000000000001</v>
      </c>
      <c r="N466" s="42">
        <f t="shared" si="329"/>
        <v>7802.1611199999998</v>
      </c>
      <c r="O466" s="42">
        <f t="shared" si="330"/>
        <v>0</v>
      </c>
      <c r="P466" s="42"/>
      <c r="Q466" s="58"/>
      <c r="R466" s="42"/>
      <c r="S466" s="42"/>
      <c r="T466" s="168"/>
    </row>
    <row r="467" spans="1:20" hidden="1" x14ac:dyDescent="0.25">
      <c r="A467" s="61"/>
      <c r="B467" s="51" t="s">
        <v>27</v>
      </c>
      <c r="C467" s="42"/>
      <c r="D467" s="42"/>
      <c r="E467" s="42"/>
      <c r="F467" s="42"/>
      <c r="G467" s="42"/>
      <c r="H467" s="42"/>
      <c r="I467" s="42"/>
      <c r="J467" s="42"/>
      <c r="K467" s="42"/>
      <c r="L467" s="42">
        <v>4828.07</v>
      </c>
      <c r="M467" s="63">
        <v>1.6160000000000001</v>
      </c>
      <c r="N467" s="42">
        <f t="shared" si="329"/>
        <v>7802.1611199999998</v>
      </c>
      <c r="O467" s="42">
        <f t="shared" si="330"/>
        <v>0</v>
      </c>
      <c r="P467" s="42"/>
      <c r="Q467" s="58"/>
      <c r="R467" s="42"/>
      <c r="S467" s="42"/>
      <c r="T467" s="168"/>
    </row>
    <row r="468" spans="1:20" hidden="1" x14ac:dyDescent="0.25">
      <c r="A468" s="61"/>
      <c r="B468" s="51" t="s">
        <v>28</v>
      </c>
      <c r="C468" s="42"/>
      <c r="D468" s="42"/>
      <c r="E468" s="42"/>
      <c r="F468" s="42"/>
      <c r="G468" s="42"/>
      <c r="H468" s="42"/>
      <c r="I468" s="42"/>
      <c r="J468" s="42"/>
      <c r="K468" s="42"/>
      <c r="L468" s="42">
        <v>4828.07</v>
      </c>
      <c r="M468" s="63">
        <v>1.6160000000000001</v>
      </c>
      <c r="N468" s="42">
        <f t="shared" si="329"/>
        <v>7802.1611199999998</v>
      </c>
      <c r="O468" s="42">
        <f t="shared" si="330"/>
        <v>0</v>
      </c>
      <c r="P468" s="42"/>
      <c r="Q468" s="58"/>
      <c r="R468" s="42"/>
      <c r="S468" s="42"/>
      <c r="T468" s="168"/>
    </row>
    <row r="469" spans="1:20" hidden="1" x14ac:dyDescent="0.25">
      <c r="A469" s="61"/>
      <c r="B469" s="51" t="s">
        <v>29</v>
      </c>
      <c r="C469" s="42"/>
      <c r="D469" s="42"/>
      <c r="E469" s="42"/>
      <c r="F469" s="42"/>
      <c r="G469" s="42"/>
      <c r="H469" s="42"/>
      <c r="I469" s="42"/>
      <c r="J469" s="42"/>
      <c r="K469" s="42"/>
      <c r="L469" s="42">
        <v>4828.07</v>
      </c>
      <c r="M469" s="63">
        <v>1.6160000000000001</v>
      </c>
      <c r="N469" s="42">
        <f t="shared" si="329"/>
        <v>7802.1611199999998</v>
      </c>
      <c r="O469" s="42">
        <f t="shared" si="330"/>
        <v>0</v>
      </c>
      <c r="P469" s="42"/>
      <c r="Q469" s="58"/>
      <c r="R469" s="42"/>
      <c r="S469" s="42"/>
      <c r="T469" s="168"/>
    </row>
    <row r="470" spans="1:20" ht="51.75" hidden="1" x14ac:dyDescent="0.25">
      <c r="A470" s="61" t="s">
        <v>63</v>
      </c>
      <c r="B470" s="51" t="s">
        <v>58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>
        <v>4828.07</v>
      </c>
      <c r="M470" s="63">
        <v>1.6160000000000001</v>
      </c>
      <c r="N470" s="42">
        <f t="shared" si="329"/>
        <v>7802.1611199999998</v>
      </c>
      <c r="O470" s="42">
        <f t="shared" si="330"/>
        <v>0</v>
      </c>
      <c r="P470" s="42"/>
      <c r="Q470" s="58"/>
      <c r="R470" s="42"/>
      <c r="S470" s="42"/>
      <c r="T470" s="168"/>
    </row>
    <row r="471" spans="1:20" hidden="1" x14ac:dyDescent="0.25">
      <c r="A471" s="61"/>
      <c r="B471" s="51" t="s">
        <v>27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>
        <v>4828.07</v>
      </c>
      <c r="M471" s="63">
        <v>1.6160000000000001</v>
      </c>
      <c r="N471" s="42">
        <f t="shared" si="329"/>
        <v>7802.1611199999998</v>
      </c>
      <c r="O471" s="42">
        <f t="shared" si="330"/>
        <v>0</v>
      </c>
      <c r="P471" s="42"/>
      <c r="Q471" s="58"/>
      <c r="R471" s="42"/>
      <c r="S471" s="42"/>
      <c r="T471" s="168"/>
    </row>
    <row r="472" spans="1:20" hidden="1" x14ac:dyDescent="0.25">
      <c r="A472" s="61"/>
      <c r="B472" s="51" t="s">
        <v>28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>
        <v>4828.07</v>
      </c>
      <c r="M472" s="63">
        <v>1.6160000000000001</v>
      </c>
      <c r="N472" s="42">
        <f t="shared" si="329"/>
        <v>7802.1611199999998</v>
      </c>
      <c r="O472" s="42">
        <f t="shared" si="330"/>
        <v>0</v>
      </c>
      <c r="P472" s="42"/>
      <c r="Q472" s="58"/>
      <c r="R472" s="42"/>
      <c r="S472" s="42"/>
      <c r="T472" s="168"/>
    </row>
    <row r="473" spans="1:20" hidden="1" x14ac:dyDescent="0.25">
      <c r="A473" s="61"/>
      <c r="B473" s="51" t="s">
        <v>29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>
        <v>4828.07</v>
      </c>
      <c r="M473" s="63">
        <v>1.6160000000000001</v>
      </c>
      <c r="N473" s="42">
        <f t="shared" si="329"/>
        <v>7802.1611199999998</v>
      </c>
      <c r="O473" s="42">
        <f t="shared" si="330"/>
        <v>0</v>
      </c>
      <c r="P473" s="42"/>
      <c r="Q473" s="58"/>
      <c r="R473" s="42"/>
      <c r="S473" s="42"/>
      <c r="T473" s="168"/>
    </row>
    <row r="474" spans="1:20" ht="39" hidden="1" x14ac:dyDescent="0.25">
      <c r="A474" s="61" t="s">
        <v>64</v>
      </c>
      <c r="B474" s="51" t="s">
        <v>30</v>
      </c>
      <c r="C474" s="42"/>
      <c r="D474" s="42"/>
      <c r="E474" s="42"/>
      <c r="F474" s="42"/>
      <c r="G474" s="42"/>
      <c r="H474" s="42"/>
      <c r="I474" s="42"/>
      <c r="J474" s="42"/>
      <c r="K474" s="42"/>
      <c r="L474" s="42">
        <v>4828.07</v>
      </c>
      <c r="M474" s="63">
        <v>1.6160000000000001</v>
      </c>
      <c r="N474" s="42">
        <f t="shared" si="329"/>
        <v>7802.1611199999998</v>
      </c>
      <c r="O474" s="42">
        <f t="shared" si="330"/>
        <v>0</v>
      </c>
      <c r="P474" s="42"/>
      <c r="Q474" s="58"/>
      <c r="R474" s="42"/>
      <c r="S474" s="42"/>
      <c r="T474" s="168"/>
    </row>
    <row r="475" spans="1:20" hidden="1" x14ac:dyDescent="0.25">
      <c r="A475" s="61"/>
      <c r="B475" s="51" t="s">
        <v>27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>
        <v>4828.07</v>
      </c>
      <c r="M475" s="63">
        <v>1.6160000000000001</v>
      </c>
      <c r="N475" s="42">
        <f t="shared" si="329"/>
        <v>7802.1611199999998</v>
      </c>
      <c r="O475" s="42">
        <f t="shared" si="330"/>
        <v>0</v>
      </c>
      <c r="P475" s="42"/>
      <c r="Q475" s="58"/>
      <c r="R475" s="42"/>
      <c r="S475" s="42"/>
      <c r="T475" s="168"/>
    </row>
    <row r="476" spans="1:20" hidden="1" x14ac:dyDescent="0.25">
      <c r="A476" s="61"/>
      <c r="B476" s="51" t="s">
        <v>28</v>
      </c>
      <c r="C476" s="42"/>
      <c r="D476" s="42"/>
      <c r="E476" s="42"/>
      <c r="F476" s="42"/>
      <c r="G476" s="42"/>
      <c r="H476" s="42"/>
      <c r="I476" s="42"/>
      <c r="J476" s="42"/>
      <c r="K476" s="42"/>
      <c r="L476" s="42">
        <v>4828.07</v>
      </c>
      <c r="M476" s="63">
        <v>1.6160000000000001</v>
      </c>
      <c r="N476" s="42">
        <f t="shared" si="329"/>
        <v>7802.1611199999998</v>
      </c>
      <c r="O476" s="42">
        <f t="shared" si="330"/>
        <v>0</v>
      </c>
      <c r="P476" s="42"/>
      <c r="Q476" s="58"/>
      <c r="R476" s="42"/>
      <c r="S476" s="42"/>
      <c r="T476" s="168"/>
    </row>
    <row r="477" spans="1:20" hidden="1" x14ac:dyDescent="0.25">
      <c r="A477" s="61"/>
      <c r="B477" s="51" t="s">
        <v>29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>
        <v>4828.07</v>
      </c>
      <c r="M477" s="63">
        <v>1.6160000000000001</v>
      </c>
      <c r="N477" s="42">
        <f t="shared" si="329"/>
        <v>7802.1611199999998</v>
      </c>
      <c r="O477" s="42">
        <f t="shared" si="330"/>
        <v>0</v>
      </c>
      <c r="P477" s="42"/>
      <c r="Q477" s="58"/>
      <c r="R477" s="42"/>
      <c r="S477" s="42"/>
      <c r="T477" s="168"/>
    </row>
    <row r="478" spans="1:20" ht="39" hidden="1" x14ac:dyDescent="0.25">
      <c r="A478" s="61"/>
      <c r="B478" s="51" t="s">
        <v>9</v>
      </c>
      <c r="C478" s="42"/>
      <c r="D478" s="42"/>
      <c r="E478" s="42"/>
      <c r="F478" s="42"/>
      <c r="G478" s="42"/>
      <c r="H478" s="42"/>
      <c r="I478" s="42"/>
      <c r="J478" s="42"/>
      <c r="K478" s="42"/>
      <c r="L478" s="42">
        <v>4828.07</v>
      </c>
      <c r="M478" s="63">
        <v>1.6160000000000001</v>
      </c>
      <c r="N478" s="42">
        <f t="shared" si="329"/>
        <v>7802.1611199999998</v>
      </c>
      <c r="O478" s="42">
        <f t="shared" si="330"/>
        <v>0</v>
      </c>
      <c r="P478" s="42"/>
      <c r="Q478" s="58"/>
      <c r="R478" s="42"/>
      <c r="S478" s="42"/>
      <c r="T478" s="168"/>
    </row>
    <row r="479" spans="1:20" ht="39" hidden="1" x14ac:dyDescent="0.25">
      <c r="A479" s="61"/>
      <c r="B479" s="51" t="s">
        <v>11</v>
      </c>
      <c r="C479" s="42"/>
      <c r="D479" s="42"/>
      <c r="E479" s="42"/>
      <c r="F479" s="42"/>
      <c r="G479" s="42"/>
      <c r="H479" s="42"/>
      <c r="I479" s="42"/>
      <c r="J479" s="42"/>
      <c r="K479" s="42"/>
      <c r="L479" s="42">
        <v>4828.07</v>
      </c>
      <c r="M479" s="63">
        <v>1.6160000000000001</v>
      </c>
      <c r="N479" s="42">
        <f t="shared" si="329"/>
        <v>7802.1611199999998</v>
      </c>
      <c r="O479" s="42">
        <f t="shared" si="330"/>
        <v>0</v>
      </c>
      <c r="P479" s="42"/>
      <c r="Q479" s="58"/>
      <c r="R479" s="42"/>
      <c r="S479" s="42"/>
      <c r="T479" s="168"/>
    </row>
    <row r="480" spans="1:20" hidden="1" x14ac:dyDescent="0.25">
      <c r="A480" s="61"/>
      <c r="B480" s="51" t="s">
        <v>13</v>
      </c>
      <c r="C480" s="42"/>
      <c r="D480" s="42"/>
      <c r="E480" s="42"/>
      <c r="F480" s="42"/>
      <c r="G480" s="42"/>
      <c r="H480" s="42"/>
      <c r="I480" s="42"/>
      <c r="J480" s="42"/>
      <c r="K480" s="42"/>
      <c r="L480" s="42">
        <v>4828.07</v>
      </c>
      <c r="M480" s="63">
        <v>1.6160000000000001</v>
      </c>
      <c r="N480" s="42">
        <f t="shared" si="329"/>
        <v>7802.1611199999998</v>
      </c>
      <c r="O480" s="42">
        <f t="shared" si="330"/>
        <v>0</v>
      </c>
      <c r="P480" s="42"/>
      <c r="Q480" s="58"/>
      <c r="R480" s="42"/>
      <c r="S480" s="42"/>
      <c r="T480" s="168"/>
    </row>
    <row r="481" spans="1:23" hidden="1" x14ac:dyDescent="0.25">
      <c r="A481" s="61"/>
      <c r="B481" s="61" t="s">
        <v>14</v>
      </c>
      <c r="C481" s="42"/>
      <c r="D481" s="42"/>
      <c r="E481" s="42"/>
      <c r="F481" s="42"/>
      <c r="G481" s="42"/>
      <c r="H481" s="42"/>
      <c r="I481" s="42"/>
      <c r="J481" s="42"/>
      <c r="K481" s="42"/>
      <c r="L481" s="42">
        <v>4828.07</v>
      </c>
      <c r="M481" s="63">
        <v>1.6160000000000001</v>
      </c>
      <c r="N481" s="42">
        <f t="shared" si="329"/>
        <v>7802.1611199999998</v>
      </c>
      <c r="O481" s="42">
        <f t="shared" si="330"/>
        <v>0</v>
      </c>
      <c r="P481" s="42"/>
      <c r="Q481" s="58"/>
      <c r="R481" s="42"/>
      <c r="S481" s="42"/>
      <c r="T481" s="168"/>
    </row>
    <row r="482" spans="1:23" hidden="1" x14ac:dyDescent="0.25">
      <c r="A482" s="61"/>
      <c r="B482" s="61" t="s">
        <v>17</v>
      </c>
      <c r="C482" s="42"/>
      <c r="D482" s="42"/>
      <c r="E482" s="42"/>
      <c r="F482" s="42"/>
      <c r="G482" s="42"/>
      <c r="H482" s="42"/>
      <c r="I482" s="42"/>
      <c r="J482" s="42"/>
      <c r="K482" s="42"/>
      <c r="L482" s="42">
        <v>4828.07</v>
      </c>
      <c r="M482" s="63">
        <v>1.6160000000000001</v>
      </c>
      <c r="N482" s="42">
        <f t="shared" si="329"/>
        <v>7802.1611199999998</v>
      </c>
      <c r="O482" s="42">
        <f t="shared" si="330"/>
        <v>0</v>
      </c>
      <c r="P482" s="42"/>
      <c r="Q482" s="58"/>
      <c r="R482" s="42"/>
      <c r="S482" s="42"/>
      <c r="T482" s="168"/>
    </row>
    <row r="483" spans="1:23" hidden="1" x14ac:dyDescent="0.25">
      <c r="A483" s="61"/>
      <c r="B483" s="61" t="s">
        <v>14</v>
      </c>
      <c r="C483" s="42"/>
      <c r="D483" s="42"/>
      <c r="E483" s="42"/>
      <c r="F483" s="42"/>
      <c r="G483" s="42"/>
      <c r="H483" s="42"/>
      <c r="I483" s="42"/>
      <c r="J483" s="42"/>
      <c r="K483" s="42"/>
      <c r="L483" s="42">
        <v>4828.07</v>
      </c>
      <c r="M483" s="63">
        <v>1.6160000000000001</v>
      </c>
      <c r="N483" s="42">
        <f t="shared" si="329"/>
        <v>7802.1611199999998</v>
      </c>
      <c r="O483" s="42">
        <f t="shared" si="330"/>
        <v>0</v>
      </c>
      <c r="P483" s="42"/>
      <c r="Q483" s="58"/>
      <c r="R483" s="42"/>
      <c r="S483" s="42"/>
      <c r="T483" s="168"/>
    </row>
    <row r="484" spans="1:23" hidden="1" x14ac:dyDescent="0.25">
      <c r="A484" s="65"/>
      <c r="B484" s="51" t="s">
        <v>13</v>
      </c>
      <c r="C484" s="42"/>
      <c r="D484" s="42"/>
      <c r="E484" s="42"/>
      <c r="F484" s="42"/>
      <c r="G484" s="42"/>
      <c r="H484" s="42"/>
      <c r="I484" s="42"/>
      <c r="J484" s="42"/>
      <c r="K484" s="42"/>
      <c r="L484" s="42">
        <v>4828.07</v>
      </c>
      <c r="M484" s="63">
        <v>1.6160000000000001</v>
      </c>
      <c r="N484" s="42">
        <f t="shared" si="329"/>
        <v>7802.1611199999998</v>
      </c>
      <c r="O484" s="42">
        <f t="shared" si="330"/>
        <v>0</v>
      </c>
      <c r="P484" s="42"/>
      <c r="Q484" s="58"/>
      <c r="R484" s="42"/>
      <c r="S484" s="42"/>
      <c r="T484" s="168"/>
    </row>
    <row r="485" spans="1:23" s="60" customFormat="1" hidden="1" x14ac:dyDescent="0.25">
      <c r="A485" s="56"/>
      <c r="B485" s="51" t="s">
        <v>27</v>
      </c>
      <c r="C485" s="58"/>
      <c r="D485" s="58"/>
      <c r="E485" s="58"/>
      <c r="F485" s="42"/>
      <c r="G485" s="58"/>
      <c r="H485" s="58"/>
      <c r="I485" s="58"/>
      <c r="J485" s="58"/>
      <c r="K485" s="42"/>
      <c r="L485" s="42">
        <v>4828.07</v>
      </c>
      <c r="M485" s="63">
        <v>1.6160000000000001</v>
      </c>
      <c r="N485" s="42">
        <f t="shared" si="329"/>
        <v>7802.1611199999998</v>
      </c>
      <c r="O485" s="42">
        <f t="shared" si="330"/>
        <v>0</v>
      </c>
      <c r="P485" s="42"/>
      <c r="Q485" s="58"/>
      <c r="R485" s="42"/>
      <c r="S485" s="58"/>
      <c r="T485" s="168"/>
      <c r="U485" s="68"/>
      <c r="V485" s="66"/>
      <c r="W485" s="66"/>
    </row>
    <row r="486" spans="1:23" hidden="1" x14ac:dyDescent="0.25">
      <c r="A486" s="61"/>
      <c r="B486" s="51" t="s">
        <v>28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42">
        <v>4828.07</v>
      </c>
      <c r="M486" s="63">
        <v>1.6160000000000001</v>
      </c>
      <c r="N486" s="42">
        <f t="shared" si="329"/>
        <v>7802.1611199999998</v>
      </c>
      <c r="O486" s="42">
        <f t="shared" si="330"/>
        <v>0</v>
      </c>
      <c r="P486" s="42"/>
      <c r="Q486" s="58"/>
      <c r="R486" s="42"/>
      <c r="S486" s="42"/>
      <c r="T486" s="168"/>
    </row>
    <row r="487" spans="1:23" hidden="1" x14ac:dyDescent="0.25">
      <c r="A487" s="90"/>
      <c r="B487" s="91" t="s">
        <v>29</v>
      </c>
      <c r="C487" s="92"/>
      <c r="D487" s="92"/>
      <c r="E487" s="92"/>
      <c r="F487" s="92"/>
      <c r="G487" s="92"/>
      <c r="H487" s="92"/>
      <c r="I487" s="92"/>
      <c r="J487" s="92"/>
      <c r="K487" s="92"/>
      <c r="L487" s="42">
        <v>4828.07</v>
      </c>
      <c r="M487" s="63">
        <v>1.6160000000000001</v>
      </c>
      <c r="N487" s="42">
        <f t="shared" si="329"/>
        <v>7802.1611199999998</v>
      </c>
      <c r="O487" s="42">
        <f t="shared" si="330"/>
        <v>0</v>
      </c>
      <c r="P487" s="92"/>
      <c r="Q487" s="93"/>
      <c r="R487" s="92"/>
      <c r="S487" s="92"/>
      <c r="T487" s="171"/>
    </row>
    <row r="488" spans="1:23" x14ac:dyDescent="0.25">
      <c r="A488" s="85"/>
      <c r="B488" s="94" t="s">
        <v>72</v>
      </c>
      <c r="C488" s="75">
        <f>C377+C378+C379+C424+C425+C426</f>
        <v>96</v>
      </c>
      <c r="D488" s="75"/>
      <c r="E488" s="75">
        <f>E377+E378+E379+E424+E425+E426+E445</f>
        <v>5527000</v>
      </c>
      <c r="F488" s="75"/>
      <c r="G488" s="75">
        <f>G377+G378+G379+G424+G425+G426+G445</f>
        <v>1937000</v>
      </c>
      <c r="H488" s="75"/>
      <c r="I488" s="75"/>
      <c r="J488" s="75"/>
      <c r="K488" s="75">
        <f>K377+K378+K379+K424+K425+K426+K445</f>
        <v>3116403</v>
      </c>
      <c r="L488" s="75"/>
      <c r="M488" s="75"/>
      <c r="N488" s="75"/>
      <c r="O488" s="75">
        <f>O377+O378+O379+O424+O425+O426+O445</f>
        <v>677597</v>
      </c>
      <c r="P488" s="75">
        <f>P377+P378+P379+P424+P425+P426+P445</f>
        <v>632175.21440000006</v>
      </c>
      <c r="Q488" s="75">
        <f t="shared" ref="Q488:R488" si="331">Q377+Q378+Q379+Q424+Q425+Q426+Q445</f>
        <v>0</v>
      </c>
      <c r="R488" s="75">
        <f t="shared" si="331"/>
        <v>11258000</v>
      </c>
      <c r="S488" s="75">
        <v>63000</v>
      </c>
      <c r="T488" s="170">
        <f>R488+S488</f>
        <v>11321000</v>
      </c>
      <c r="U488" s="180"/>
      <c r="V488" s="180"/>
    </row>
    <row r="489" spans="1:23" s="60" customFormat="1" x14ac:dyDescent="0.25">
      <c r="A489" s="56">
        <v>19</v>
      </c>
      <c r="B489" s="57" t="s">
        <v>73</v>
      </c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42"/>
      <c r="Q489" s="58"/>
      <c r="R489" s="58"/>
      <c r="S489" s="58"/>
      <c r="T489" s="168"/>
      <c r="U489" s="68"/>
      <c r="V489" s="66"/>
      <c r="W489" s="66"/>
    </row>
    <row r="490" spans="1:23" ht="39" x14ac:dyDescent="0.25">
      <c r="A490" s="61" t="s">
        <v>238</v>
      </c>
      <c r="B490" s="51" t="s">
        <v>54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58"/>
      <c r="R490" s="42"/>
      <c r="S490" s="42"/>
      <c r="T490" s="168"/>
    </row>
    <row r="491" spans="1:23" x14ac:dyDescent="0.25">
      <c r="A491" s="61"/>
      <c r="B491" s="51" t="s">
        <v>287</v>
      </c>
      <c r="C491" s="42">
        <v>15</v>
      </c>
      <c r="D491" s="42">
        <v>74111</v>
      </c>
      <c r="E491" s="42">
        <f>C491*D491+34343</f>
        <v>1146008</v>
      </c>
      <c r="F491" s="42">
        <f t="shared" ref="F491:F543" si="332">ROUND(D491*35.4%,0)</f>
        <v>26235</v>
      </c>
      <c r="G491" s="42">
        <f>C491*F491-6337</f>
        <v>387188</v>
      </c>
      <c r="H491" s="63">
        <v>17881.599999999999</v>
      </c>
      <c r="I491" s="117">
        <v>0.71699999999999997</v>
      </c>
      <c r="J491" s="42">
        <f t="shared" ref="J491" si="333">H491*I491</f>
        <v>12821.107199999999</v>
      </c>
      <c r="K491" s="42">
        <f>ROUND(C491*J491,0)+1244</f>
        <v>193561</v>
      </c>
      <c r="L491" s="42"/>
      <c r="M491" s="63"/>
      <c r="N491" s="42"/>
      <c r="O491" s="42"/>
      <c r="P491" s="42">
        <f t="shared" ref="P491" si="334">D491+F491+J491+N491</f>
        <v>113167.1072</v>
      </c>
      <c r="Q491" s="58"/>
      <c r="R491" s="42">
        <f t="shared" ref="R491:R527" si="335">E491+G491+K491+O491</f>
        <v>1726757</v>
      </c>
      <c r="S491" s="42"/>
      <c r="T491" s="168"/>
    </row>
    <row r="492" spans="1:23" x14ac:dyDescent="0.25">
      <c r="A492" s="61"/>
      <c r="B492" s="51" t="s">
        <v>28</v>
      </c>
      <c r="C492" s="42">
        <v>50</v>
      </c>
      <c r="D492" s="42">
        <v>44466</v>
      </c>
      <c r="E492" s="42">
        <f t="shared" ref="E492:E493" si="336">C492*D492</f>
        <v>2223300</v>
      </c>
      <c r="F492" s="42">
        <f t="shared" si="332"/>
        <v>15741</v>
      </c>
      <c r="G492" s="42">
        <f t="shared" ref="G492:G493" si="337">C492*F492</f>
        <v>787050</v>
      </c>
      <c r="H492" s="63">
        <v>17881.599999999999</v>
      </c>
      <c r="I492" s="117">
        <v>0.71699999999999997</v>
      </c>
      <c r="J492" s="42">
        <f t="shared" ref="J492:J493" si="338">H492*I492</f>
        <v>12821.107199999999</v>
      </c>
      <c r="K492" s="42">
        <f t="shared" ref="K492:K493" si="339">ROUND(C492*J492,0)</f>
        <v>641055</v>
      </c>
      <c r="L492" s="42"/>
      <c r="M492" s="63"/>
      <c r="N492" s="42"/>
      <c r="O492" s="42"/>
      <c r="P492" s="42">
        <f t="shared" ref="P492:P493" si="340">D492+F492+J492+N492</f>
        <v>73028.107199999999</v>
      </c>
      <c r="Q492" s="58"/>
      <c r="R492" s="42">
        <f t="shared" si="335"/>
        <v>3651405</v>
      </c>
      <c r="S492" s="42"/>
      <c r="T492" s="168"/>
    </row>
    <row r="493" spans="1:23" x14ac:dyDescent="0.25">
      <c r="A493" s="61"/>
      <c r="B493" s="51" t="s">
        <v>289</v>
      </c>
      <c r="C493" s="42">
        <v>22</v>
      </c>
      <c r="D493" s="42">
        <v>44466</v>
      </c>
      <c r="E493" s="42">
        <f t="shared" si="336"/>
        <v>978252</v>
      </c>
      <c r="F493" s="42">
        <f t="shared" si="332"/>
        <v>15741</v>
      </c>
      <c r="G493" s="42">
        <f t="shared" si="337"/>
        <v>346302</v>
      </c>
      <c r="H493" s="63">
        <v>17881.599999999999</v>
      </c>
      <c r="I493" s="117">
        <v>0.71699999999999997</v>
      </c>
      <c r="J493" s="42">
        <f t="shared" si="338"/>
        <v>12821.107199999999</v>
      </c>
      <c r="K493" s="42">
        <f t="shared" si="339"/>
        <v>282064</v>
      </c>
      <c r="L493" s="42"/>
      <c r="M493" s="63"/>
      <c r="N493" s="42"/>
      <c r="O493" s="42"/>
      <c r="P493" s="42">
        <f t="shared" si="340"/>
        <v>73028.107199999999</v>
      </c>
      <c r="Q493" s="58"/>
      <c r="R493" s="42">
        <f t="shared" si="335"/>
        <v>1606618</v>
      </c>
      <c r="S493" s="42"/>
      <c r="T493" s="168"/>
    </row>
    <row r="494" spans="1:23" ht="39" hidden="1" x14ac:dyDescent="0.25">
      <c r="A494" s="61" t="s">
        <v>59</v>
      </c>
      <c r="B494" s="51" t="s">
        <v>68</v>
      </c>
      <c r="C494" s="42"/>
      <c r="D494" s="42"/>
      <c r="E494" s="42"/>
      <c r="F494" s="42">
        <f t="shared" si="332"/>
        <v>0</v>
      </c>
      <c r="G494" s="42"/>
      <c r="H494" s="63">
        <v>17881.599999999999</v>
      </c>
      <c r="I494" s="63"/>
      <c r="J494" s="42"/>
      <c r="K494" s="42"/>
      <c r="L494" s="42"/>
      <c r="M494" s="63"/>
      <c r="N494" s="42"/>
      <c r="O494" s="42"/>
      <c r="P494" s="42"/>
      <c r="Q494" s="58"/>
      <c r="R494" s="42">
        <f t="shared" si="335"/>
        <v>0</v>
      </c>
      <c r="S494" s="42"/>
      <c r="T494" s="168"/>
    </row>
    <row r="495" spans="1:23" hidden="1" x14ac:dyDescent="0.25">
      <c r="A495" s="61"/>
      <c r="B495" s="51" t="s">
        <v>27</v>
      </c>
      <c r="C495" s="42"/>
      <c r="D495" s="42"/>
      <c r="E495" s="42"/>
      <c r="F495" s="42">
        <f t="shared" si="332"/>
        <v>0</v>
      </c>
      <c r="G495" s="42"/>
      <c r="H495" s="63">
        <v>17881.599999999999</v>
      </c>
      <c r="I495" s="63"/>
      <c r="J495" s="42"/>
      <c r="K495" s="42"/>
      <c r="L495" s="42"/>
      <c r="M495" s="63"/>
      <c r="N495" s="42"/>
      <c r="O495" s="42"/>
      <c r="P495" s="42"/>
      <c r="Q495" s="58"/>
      <c r="R495" s="42">
        <f t="shared" si="335"/>
        <v>0</v>
      </c>
      <c r="S495" s="42"/>
      <c r="T495" s="168"/>
    </row>
    <row r="496" spans="1:23" hidden="1" x14ac:dyDescent="0.25">
      <c r="A496" s="61"/>
      <c r="B496" s="51" t="s">
        <v>28</v>
      </c>
      <c r="C496" s="42"/>
      <c r="D496" s="42"/>
      <c r="E496" s="42"/>
      <c r="F496" s="42">
        <f t="shared" si="332"/>
        <v>0</v>
      </c>
      <c r="G496" s="42"/>
      <c r="H496" s="63">
        <v>17881.599999999999</v>
      </c>
      <c r="I496" s="63"/>
      <c r="J496" s="42"/>
      <c r="K496" s="42"/>
      <c r="L496" s="42"/>
      <c r="M496" s="63"/>
      <c r="N496" s="42"/>
      <c r="O496" s="42"/>
      <c r="P496" s="42"/>
      <c r="Q496" s="58"/>
      <c r="R496" s="42">
        <f t="shared" si="335"/>
        <v>0</v>
      </c>
      <c r="S496" s="42"/>
      <c r="T496" s="168"/>
    </row>
    <row r="497" spans="1:20" hidden="1" x14ac:dyDescent="0.25">
      <c r="A497" s="61"/>
      <c r="B497" s="51" t="s">
        <v>29</v>
      </c>
      <c r="C497" s="42"/>
      <c r="D497" s="42"/>
      <c r="E497" s="42"/>
      <c r="F497" s="42">
        <f t="shared" si="332"/>
        <v>0</v>
      </c>
      <c r="G497" s="42"/>
      <c r="H497" s="63">
        <v>17881.599999999999</v>
      </c>
      <c r="I497" s="63"/>
      <c r="J497" s="42"/>
      <c r="K497" s="42"/>
      <c r="L497" s="42"/>
      <c r="M497" s="63"/>
      <c r="N497" s="42"/>
      <c r="O497" s="42"/>
      <c r="P497" s="42"/>
      <c r="Q497" s="58"/>
      <c r="R497" s="42">
        <f t="shared" si="335"/>
        <v>0</v>
      </c>
      <c r="S497" s="42"/>
      <c r="T497" s="168"/>
    </row>
    <row r="498" spans="1:20" ht="39" hidden="1" x14ac:dyDescent="0.25">
      <c r="A498" s="61" t="s">
        <v>60</v>
      </c>
      <c r="B498" s="51" t="s">
        <v>55</v>
      </c>
      <c r="C498" s="42"/>
      <c r="D498" s="42"/>
      <c r="E498" s="42"/>
      <c r="F498" s="42">
        <f t="shared" si="332"/>
        <v>0</v>
      </c>
      <c r="G498" s="42"/>
      <c r="H498" s="63">
        <v>17881.599999999999</v>
      </c>
      <c r="I498" s="63"/>
      <c r="J498" s="42"/>
      <c r="K498" s="42"/>
      <c r="L498" s="42"/>
      <c r="M498" s="63"/>
      <c r="N498" s="42"/>
      <c r="O498" s="42"/>
      <c r="P498" s="42"/>
      <c r="Q498" s="58"/>
      <c r="R498" s="42">
        <f t="shared" si="335"/>
        <v>0</v>
      </c>
      <c r="S498" s="42"/>
      <c r="T498" s="168"/>
    </row>
    <row r="499" spans="1:20" hidden="1" x14ac:dyDescent="0.25">
      <c r="A499" s="61"/>
      <c r="B499" s="51" t="s">
        <v>27</v>
      </c>
      <c r="C499" s="42"/>
      <c r="D499" s="42"/>
      <c r="E499" s="42"/>
      <c r="F499" s="42">
        <f t="shared" si="332"/>
        <v>0</v>
      </c>
      <c r="G499" s="42"/>
      <c r="H499" s="63">
        <v>17881.599999999999</v>
      </c>
      <c r="I499" s="63"/>
      <c r="J499" s="42"/>
      <c r="K499" s="42"/>
      <c r="L499" s="42"/>
      <c r="M499" s="63"/>
      <c r="N499" s="42"/>
      <c r="O499" s="42"/>
      <c r="P499" s="42"/>
      <c r="Q499" s="58"/>
      <c r="R499" s="42">
        <f t="shared" si="335"/>
        <v>0</v>
      </c>
      <c r="S499" s="42"/>
      <c r="T499" s="168"/>
    </row>
    <row r="500" spans="1:20" hidden="1" x14ac:dyDescent="0.25">
      <c r="A500" s="61"/>
      <c r="B500" s="51" t="s">
        <v>28</v>
      </c>
      <c r="C500" s="42"/>
      <c r="D500" s="42"/>
      <c r="E500" s="42"/>
      <c r="F500" s="42">
        <f t="shared" si="332"/>
        <v>0</v>
      </c>
      <c r="G500" s="42"/>
      <c r="H500" s="63">
        <v>17881.599999999999</v>
      </c>
      <c r="I500" s="63"/>
      <c r="J500" s="42"/>
      <c r="K500" s="42"/>
      <c r="L500" s="42"/>
      <c r="M500" s="63"/>
      <c r="N500" s="42"/>
      <c r="O500" s="42"/>
      <c r="P500" s="42"/>
      <c r="Q500" s="58"/>
      <c r="R500" s="42">
        <f t="shared" si="335"/>
        <v>0</v>
      </c>
      <c r="S500" s="42"/>
      <c r="T500" s="168"/>
    </row>
    <row r="501" spans="1:20" hidden="1" x14ac:dyDescent="0.25">
      <c r="A501" s="61"/>
      <c r="B501" s="51" t="s">
        <v>29</v>
      </c>
      <c r="C501" s="42"/>
      <c r="D501" s="42"/>
      <c r="E501" s="42"/>
      <c r="F501" s="42">
        <f t="shared" si="332"/>
        <v>0</v>
      </c>
      <c r="G501" s="42"/>
      <c r="H501" s="63">
        <v>17881.599999999999</v>
      </c>
      <c r="I501" s="63"/>
      <c r="J501" s="42"/>
      <c r="K501" s="42"/>
      <c r="L501" s="42"/>
      <c r="M501" s="63"/>
      <c r="N501" s="42"/>
      <c r="O501" s="42"/>
      <c r="P501" s="42"/>
      <c r="Q501" s="58"/>
      <c r="R501" s="42">
        <f t="shared" si="335"/>
        <v>0</v>
      </c>
      <c r="S501" s="42"/>
      <c r="T501" s="168"/>
    </row>
    <row r="502" spans="1:20" ht="39" hidden="1" x14ac:dyDescent="0.25">
      <c r="A502" s="61" t="s">
        <v>61</v>
      </c>
      <c r="B502" s="51" t="s">
        <v>56</v>
      </c>
      <c r="C502" s="42"/>
      <c r="D502" s="42"/>
      <c r="E502" s="42"/>
      <c r="F502" s="42">
        <f t="shared" si="332"/>
        <v>0</v>
      </c>
      <c r="G502" s="42"/>
      <c r="H502" s="63">
        <v>17881.599999999999</v>
      </c>
      <c r="I502" s="63"/>
      <c r="J502" s="42"/>
      <c r="K502" s="42"/>
      <c r="L502" s="42"/>
      <c r="M502" s="63"/>
      <c r="N502" s="42"/>
      <c r="O502" s="42"/>
      <c r="P502" s="42"/>
      <c r="Q502" s="58"/>
      <c r="R502" s="42">
        <f t="shared" si="335"/>
        <v>0</v>
      </c>
      <c r="S502" s="42"/>
      <c r="T502" s="168"/>
    </row>
    <row r="503" spans="1:20" hidden="1" x14ac:dyDescent="0.25">
      <c r="A503" s="61"/>
      <c r="B503" s="51" t="s">
        <v>27</v>
      </c>
      <c r="C503" s="42"/>
      <c r="D503" s="42"/>
      <c r="E503" s="42"/>
      <c r="F503" s="42">
        <f t="shared" si="332"/>
        <v>0</v>
      </c>
      <c r="G503" s="42"/>
      <c r="H503" s="63">
        <v>17881.599999999999</v>
      </c>
      <c r="I503" s="63"/>
      <c r="J503" s="42"/>
      <c r="K503" s="42"/>
      <c r="L503" s="42"/>
      <c r="M503" s="63"/>
      <c r="N503" s="42"/>
      <c r="O503" s="42"/>
      <c r="P503" s="42"/>
      <c r="Q503" s="58"/>
      <c r="R503" s="42">
        <f t="shared" si="335"/>
        <v>0</v>
      </c>
      <c r="S503" s="42"/>
      <c r="T503" s="168"/>
    </row>
    <row r="504" spans="1:20" hidden="1" x14ac:dyDescent="0.25">
      <c r="A504" s="61"/>
      <c r="B504" s="51" t="s">
        <v>28</v>
      </c>
      <c r="C504" s="42"/>
      <c r="D504" s="42"/>
      <c r="E504" s="42"/>
      <c r="F504" s="42">
        <f t="shared" si="332"/>
        <v>0</v>
      </c>
      <c r="G504" s="42"/>
      <c r="H504" s="63">
        <v>17881.599999999999</v>
      </c>
      <c r="I504" s="63"/>
      <c r="J504" s="42"/>
      <c r="K504" s="42"/>
      <c r="L504" s="42"/>
      <c r="M504" s="63"/>
      <c r="N504" s="42"/>
      <c r="O504" s="42"/>
      <c r="P504" s="42"/>
      <c r="Q504" s="58"/>
      <c r="R504" s="42">
        <f t="shared" si="335"/>
        <v>0</v>
      </c>
      <c r="S504" s="42"/>
      <c r="T504" s="168"/>
    </row>
    <row r="505" spans="1:20" hidden="1" x14ac:dyDescent="0.25">
      <c r="A505" s="61"/>
      <c r="B505" s="51" t="s">
        <v>29</v>
      </c>
      <c r="C505" s="42"/>
      <c r="D505" s="42"/>
      <c r="E505" s="42"/>
      <c r="F505" s="42">
        <f t="shared" si="332"/>
        <v>0</v>
      </c>
      <c r="G505" s="42"/>
      <c r="H505" s="63">
        <v>17881.599999999999</v>
      </c>
      <c r="I505" s="63"/>
      <c r="J505" s="42"/>
      <c r="K505" s="42"/>
      <c r="L505" s="42"/>
      <c r="M505" s="63"/>
      <c r="N505" s="42"/>
      <c r="O505" s="42"/>
      <c r="P505" s="42"/>
      <c r="Q505" s="58"/>
      <c r="R505" s="42">
        <f t="shared" si="335"/>
        <v>0</v>
      </c>
      <c r="S505" s="42"/>
      <c r="T505" s="168"/>
    </row>
    <row r="506" spans="1:20" ht="51.75" hidden="1" x14ac:dyDescent="0.25">
      <c r="A506" s="61" t="s">
        <v>62</v>
      </c>
      <c r="B506" s="51" t="s">
        <v>57</v>
      </c>
      <c r="C506" s="42"/>
      <c r="D506" s="42"/>
      <c r="E506" s="42"/>
      <c r="F506" s="42">
        <f t="shared" si="332"/>
        <v>0</v>
      </c>
      <c r="G506" s="42"/>
      <c r="H506" s="63">
        <v>17881.599999999999</v>
      </c>
      <c r="I506" s="63"/>
      <c r="J506" s="42"/>
      <c r="K506" s="42"/>
      <c r="L506" s="42"/>
      <c r="M506" s="63"/>
      <c r="N506" s="42"/>
      <c r="O506" s="42"/>
      <c r="P506" s="42"/>
      <c r="Q506" s="58"/>
      <c r="R506" s="42">
        <f t="shared" si="335"/>
        <v>0</v>
      </c>
      <c r="S506" s="42"/>
      <c r="T506" s="168"/>
    </row>
    <row r="507" spans="1:20" hidden="1" x14ac:dyDescent="0.25">
      <c r="A507" s="61"/>
      <c r="B507" s="51" t="s">
        <v>27</v>
      </c>
      <c r="C507" s="42"/>
      <c r="D507" s="42"/>
      <c r="E507" s="42"/>
      <c r="F507" s="42">
        <f t="shared" si="332"/>
        <v>0</v>
      </c>
      <c r="G507" s="42"/>
      <c r="H507" s="63">
        <v>17881.599999999999</v>
      </c>
      <c r="I507" s="63"/>
      <c r="J507" s="42"/>
      <c r="K507" s="42"/>
      <c r="L507" s="42"/>
      <c r="M507" s="63"/>
      <c r="N507" s="42"/>
      <c r="O507" s="42"/>
      <c r="P507" s="42"/>
      <c r="Q507" s="58"/>
      <c r="R507" s="42">
        <f t="shared" si="335"/>
        <v>0</v>
      </c>
      <c r="S507" s="42"/>
      <c r="T507" s="168"/>
    </row>
    <row r="508" spans="1:20" hidden="1" x14ac:dyDescent="0.25">
      <c r="A508" s="61"/>
      <c r="B508" s="51" t="s">
        <v>28</v>
      </c>
      <c r="C508" s="42"/>
      <c r="D508" s="42"/>
      <c r="E508" s="42"/>
      <c r="F508" s="42">
        <f t="shared" si="332"/>
        <v>0</v>
      </c>
      <c r="G508" s="42"/>
      <c r="H508" s="63">
        <v>17881.599999999999</v>
      </c>
      <c r="I508" s="63"/>
      <c r="J508" s="42"/>
      <c r="K508" s="42"/>
      <c r="L508" s="42"/>
      <c r="M508" s="63"/>
      <c r="N508" s="42"/>
      <c r="O508" s="42"/>
      <c r="P508" s="42"/>
      <c r="Q508" s="58"/>
      <c r="R508" s="42">
        <f t="shared" si="335"/>
        <v>0</v>
      </c>
      <c r="S508" s="42"/>
      <c r="T508" s="168"/>
    </row>
    <row r="509" spans="1:20" hidden="1" x14ac:dyDescent="0.25">
      <c r="A509" s="61"/>
      <c r="B509" s="51" t="s">
        <v>29</v>
      </c>
      <c r="C509" s="42"/>
      <c r="D509" s="42"/>
      <c r="E509" s="42"/>
      <c r="F509" s="42">
        <f t="shared" si="332"/>
        <v>0</v>
      </c>
      <c r="G509" s="42"/>
      <c r="H509" s="63">
        <v>17881.599999999999</v>
      </c>
      <c r="I509" s="63"/>
      <c r="J509" s="42"/>
      <c r="K509" s="42"/>
      <c r="L509" s="42"/>
      <c r="M509" s="63"/>
      <c r="N509" s="42"/>
      <c r="O509" s="42"/>
      <c r="P509" s="42"/>
      <c r="Q509" s="58"/>
      <c r="R509" s="42">
        <f t="shared" si="335"/>
        <v>0</v>
      </c>
      <c r="S509" s="42"/>
      <c r="T509" s="168"/>
    </row>
    <row r="510" spans="1:20" ht="51.75" hidden="1" x14ac:dyDescent="0.25">
      <c r="A510" s="61" t="s">
        <v>63</v>
      </c>
      <c r="B510" s="51" t="s">
        <v>58</v>
      </c>
      <c r="C510" s="42"/>
      <c r="D510" s="42"/>
      <c r="E510" s="42"/>
      <c r="F510" s="42">
        <f t="shared" si="332"/>
        <v>0</v>
      </c>
      <c r="G510" s="42"/>
      <c r="H510" s="63">
        <v>17881.599999999999</v>
      </c>
      <c r="I510" s="63"/>
      <c r="J510" s="42"/>
      <c r="K510" s="42"/>
      <c r="L510" s="42"/>
      <c r="M510" s="63"/>
      <c r="N510" s="42"/>
      <c r="O510" s="42"/>
      <c r="P510" s="42"/>
      <c r="Q510" s="58"/>
      <c r="R510" s="42">
        <f t="shared" si="335"/>
        <v>0</v>
      </c>
      <c r="S510" s="42"/>
      <c r="T510" s="168"/>
    </row>
    <row r="511" spans="1:20" hidden="1" x14ac:dyDescent="0.25">
      <c r="A511" s="61"/>
      <c r="B511" s="51" t="s">
        <v>27</v>
      </c>
      <c r="C511" s="42"/>
      <c r="D511" s="42"/>
      <c r="E511" s="42"/>
      <c r="F511" s="42">
        <f t="shared" si="332"/>
        <v>0</v>
      </c>
      <c r="G511" s="42"/>
      <c r="H511" s="63">
        <v>17881.599999999999</v>
      </c>
      <c r="I511" s="63"/>
      <c r="J511" s="42"/>
      <c r="K511" s="42"/>
      <c r="L511" s="42"/>
      <c r="M511" s="63"/>
      <c r="N511" s="42"/>
      <c r="O511" s="42"/>
      <c r="P511" s="42"/>
      <c r="Q511" s="58"/>
      <c r="R511" s="42">
        <f t="shared" si="335"/>
        <v>0</v>
      </c>
      <c r="S511" s="42"/>
      <c r="T511" s="168"/>
    </row>
    <row r="512" spans="1:20" hidden="1" x14ac:dyDescent="0.25">
      <c r="A512" s="61"/>
      <c r="B512" s="51" t="s">
        <v>28</v>
      </c>
      <c r="C512" s="42"/>
      <c r="D512" s="42"/>
      <c r="E512" s="42"/>
      <c r="F512" s="42">
        <f t="shared" si="332"/>
        <v>0</v>
      </c>
      <c r="G512" s="42"/>
      <c r="H512" s="63">
        <v>17881.599999999999</v>
      </c>
      <c r="I512" s="63"/>
      <c r="J512" s="42"/>
      <c r="K512" s="42"/>
      <c r="L512" s="42"/>
      <c r="M512" s="63"/>
      <c r="N512" s="42"/>
      <c r="O512" s="42"/>
      <c r="P512" s="42"/>
      <c r="Q512" s="58"/>
      <c r="R512" s="42">
        <f t="shared" si="335"/>
        <v>0</v>
      </c>
      <c r="S512" s="42"/>
      <c r="T512" s="168"/>
    </row>
    <row r="513" spans="1:23" hidden="1" x14ac:dyDescent="0.25">
      <c r="A513" s="61"/>
      <c r="B513" s="51" t="s">
        <v>29</v>
      </c>
      <c r="C513" s="42"/>
      <c r="D513" s="42"/>
      <c r="E513" s="42"/>
      <c r="F513" s="42">
        <f t="shared" si="332"/>
        <v>0</v>
      </c>
      <c r="G513" s="42"/>
      <c r="H513" s="63">
        <v>17881.599999999999</v>
      </c>
      <c r="I513" s="63"/>
      <c r="J513" s="42"/>
      <c r="K513" s="42"/>
      <c r="L513" s="42"/>
      <c r="M513" s="63"/>
      <c r="N513" s="42"/>
      <c r="O513" s="42"/>
      <c r="P513" s="42"/>
      <c r="Q513" s="58"/>
      <c r="R513" s="42">
        <f t="shared" si="335"/>
        <v>0</v>
      </c>
      <c r="S513" s="42"/>
      <c r="T513" s="168"/>
    </row>
    <row r="514" spans="1:23" ht="39" hidden="1" x14ac:dyDescent="0.25">
      <c r="A514" s="61" t="s">
        <v>64</v>
      </c>
      <c r="B514" s="51" t="s">
        <v>30</v>
      </c>
      <c r="C514" s="42"/>
      <c r="D514" s="42"/>
      <c r="E514" s="42"/>
      <c r="F514" s="42">
        <f t="shared" si="332"/>
        <v>0</v>
      </c>
      <c r="G514" s="42"/>
      <c r="H514" s="63">
        <v>17881.599999999999</v>
      </c>
      <c r="I514" s="63"/>
      <c r="J514" s="42"/>
      <c r="K514" s="42"/>
      <c r="L514" s="42"/>
      <c r="M514" s="63"/>
      <c r="N514" s="42"/>
      <c r="O514" s="42"/>
      <c r="P514" s="42"/>
      <c r="Q514" s="58"/>
      <c r="R514" s="42">
        <f t="shared" si="335"/>
        <v>0</v>
      </c>
      <c r="S514" s="42"/>
      <c r="T514" s="168"/>
    </row>
    <row r="515" spans="1:23" hidden="1" x14ac:dyDescent="0.25">
      <c r="A515" s="61"/>
      <c r="B515" s="51" t="s">
        <v>27</v>
      </c>
      <c r="C515" s="42"/>
      <c r="D515" s="42"/>
      <c r="E515" s="42"/>
      <c r="F515" s="42">
        <f t="shared" si="332"/>
        <v>0</v>
      </c>
      <c r="G515" s="42"/>
      <c r="H515" s="63">
        <v>17881.599999999999</v>
      </c>
      <c r="I515" s="63"/>
      <c r="J515" s="42"/>
      <c r="K515" s="42"/>
      <c r="L515" s="42"/>
      <c r="M515" s="63"/>
      <c r="N515" s="42"/>
      <c r="O515" s="42"/>
      <c r="P515" s="42"/>
      <c r="Q515" s="58"/>
      <c r="R515" s="42">
        <f t="shared" si="335"/>
        <v>0</v>
      </c>
      <c r="S515" s="42"/>
      <c r="T515" s="168"/>
    </row>
    <row r="516" spans="1:23" hidden="1" x14ac:dyDescent="0.25">
      <c r="A516" s="61"/>
      <c r="B516" s="51" t="s">
        <v>28</v>
      </c>
      <c r="C516" s="42"/>
      <c r="D516" s="42"/>
      <c r="E516" s="42"/>
      <c r="F516" s="42">
        <f t="shared" si="332"/>
        <v>0</v>
      </c>
      <c r="G516" s="42"/>
      <c r="H516" s="63">
        <v>17881.599999999999</v>
      </c>
      <c r="I516" s="63"/>
      <c r="J516" s="42"/>
      <c r="K516" s="42"/>
      <c r="L516" s="42"/>
      <c r="M516" s="63"/>
      <c r="N516" s="42"/>
      <c r="O516" s="42"/>
      <c r="P516" s="42"/>
      <c r="Q516" s="58"/>
      <c r="R516" s="42">
        <f t="shared" si="335"/>
        <v>0</v>
      </c>
      <c r="S516" s="42"/>
      <c r="T516" s="168"/>
    </row>
    <row r="517" spans="1:23" hidden="1" x14ac:dyDescent="0.25">
      <c r="A517" s="61"/>
      <c r="B517" s="51" t="s">
        <v>29</v>
      </c>
      <c r="C517" s="42"/>
      <c r="D517" s="42"/>
      <c r="E517" s="42"/>
      <c r="F517" s="42">
        <f t="shared" si="332"/>
        <v>0</v>
      </c>
      <c r="G517" s="42"/>
      <c r="H517" s="63">
        <v>17881.599999999999</v>
      </c>
      <c r="I517" s="63"/>
      <c r="J517" s="42"/>
      <c r="K517" s="42"/>
      <c r="L517" s="42"/>
      <c r="M517" s="63"/>
      <c r="N517" s="42"/>
      <c r="O517" s="42"/>
      <c r="P517" s="42"/>
      <c r="Q517" s="58"/>
      <c r="R517" s="42">
        <f t="shared" si="335"/>
        <v>0</v>
      </c>
      <c r="S517" s="42"/>
      <c r="T517" s="168"/>
    </row>
    <row r="518" spans="1:23" ht="39" hidden="1" x14ac:dyDescent="0.25">
      <c r="A518" s="61"/>
      <c r="B518" s="51" t="s">
        <v>9</v>
      </c>
      <c r="C518" s="42"/>
      <c r="D518" s="42"/>
      <c r="E518" s="42"/>
      <c r="F518" s="42">
        <f t="shared" si="332"/>
        <v>0</v>
      </c>
      <c r="G518" s="42"/>
      <c r="H518" s="63">
        <v>17881.599999999999</v>
      </c>
      <c r="I518" s="63"/>
      <c r="J518" s="42"/>
      <c r="K518" s="42"/>
      <c r="L518" s="42"/>
      <c r="M518" s="63"/>
      <c r="N518" s="42"/>
      <c r="O518" s="42"/>
      <c r="P518" s="42"/>
      <c r="Q518" s="58"/>
      <c r="R518" s="42">
        <f t="shared" si="335"/>
        <v>0</v>
      </c>
      <c r="S518" s="42"/>
      <c r="T518" s="168"/>
    </row>
    <row r="519" spans="1:23" ht="39" hidden="1" x14ac:dyDescent="0.25">
      <c r="A519" s="61"/>
      <c r="B519" s="51" t="s">
        <v>11</v>
      </c>
      <c r="C519" s="42"/>
      <c r="D519" s="42"/>
      <c r="E519" s="42"/>
      <c r="F519" s="42">
        <f t="shared" si="332"/>
        <v>0</v>
      </c>
      <c r="G519" s="42"/>
      <c r="H519" s="63">
        <v>17881.599999999999</v>
      </c>
      <c r="I519" s="63"/>
      <c r="J519" s="42"/>
      <c r="K519" s="42"/>
      <c r="L519" s="42"/>
      <c r="M519" s="63"/>
      <c r="N519" s="42"/>
      <c r="O519" s="42"/>
      <c r="P519" s="42"/>
      <c r="Q519" s="58"/>
      <c r="R519" s="42">
        <f t="shared" si="335"/>
        <v>0</v>
      </c>
      <c r="S519" s="42"/>
      <c r="T519" s="168"/>
    </row>
    <row r="520" spans="1:23" hidden="1" x14ac:dyDescent="0.25">
      <c r="A520" s="61"/>
      <c r="B520" s="51" t="s">
        <v>13</v>
      </c>
      <c r="C520" s="42"/>
      <c r="D520" s="42"/>
      <c r="E520" s="42"/>
      <c r="F520" s="42">
        <f t="shared" si="332"/>
        <v>0</v>
      </c>
      <c r="G520" s="42"/>
      <c r="H520" s="63">
        <v>17881.599999999999</v>
      </c>
      <c r="I520" s="63"/>
      <c r="J520" s="42"/>
      <c r="K520" s="42"/>
      <c r="L520" s="42"/>
      <c r="M520" s="63"/>
      <c r="N520" s="42"/>
      <c r="O520" s="42"/>
      <c r="P520" s="42"/>
      <c r="Q520" s="58"/>
      <c r="R520" s="42">
        <f t="shared" si="335"/>
        <v>0</v>
      </c>
      <c r="S520" s="42"/>
      <c r="T520" s="168"/>
    </row>
    <row r="521" spans="1:23" hidden="1" x14ac:dyDescent="0.25">
      <c r="A521" s="61"/>
      <c r="B521" s="61" t="s">
        <v>14</v>
      </c>
      <c r="C521" s="42"/>
      <c r="D521" s="42"/>
      <c r="E521" s="42"/>
      <c r="F521" s="42">
        <f t="shared" si="332"/>
        <v>0</v>
      </c>
      <c r="G521" s="42"/>
      <c r="H521" s="63">
        <v>17881.599999999999</v>
      </c>
      <c r="I521" s="63"/>
      <c r="J521" s="42"/>
      <c r="K521" s="42"/>
      <c r="L521" s="42"/>
      <c r="M521" s="63"/>
      <c r="N521" s="42"/>
      <c r="O521" s="42"/>
      <c r="P521" s="42"/>
      <c r="Q521" s="58"/>
      <c r="R521" s="42">
        <f t="shared" si="335"/>
        <v>0</v>
      </c>
      <c r="S521" s="42"/>
      <c r="T521" s="168"/>
    </row>
    <row r="522" spans="1:23" hidden="1" x14ac:dyDescent="0.25">
      <c r="A522" s="61"/>
      <c r="B522" s="61" t="s">
        <v>17</v>
      </c>
      <c r="C522" s="42"/>
      <c r="D522" s="42"/>
      <c r="E522" s="42"/>
      <c r="F522" s="42">
        <f t="shared" si="332"/>
        <v>0</v>
      </c>
      <c r="G522" s="42"/>
      <c r="H522" s="63">
        <v>17881.599999999999</v>
      </c>
      <c r="I522" s="63"/>
      <c r="J522" s="42"/>
      <c r="K522" s="42"/>
      <c r="L522" s="42"/>
      <c r="M522" s="63"/>
      <c r="N522" s="42"/>
      <c r="O522" s="42"/>
      <c r="P522" s="42"/>
      <c r="Q522" s="58"/>
      <c r="R522" s="42">
        <f t="shared" si="335"/>
        <v>0</v>
      </c>
      <c r="S522" s="42"/>
      <c r="T522" s="168"/>
    </row>
    <row r="523" spans="1:23" hidden="1" x14ac:dyDescent="0.25">
      <c r="A523" s="61"/>
      <c r="B523" s="61" t="s">
        <v>14</v>
      </c>
      <c r="C523" s="42"/>
      <c r="D523" s="42"/>
      <c r="E523" s="42"/>
      <c r="F523" s="42">
        <f t="shared" si="332"/>
        <v>0</v>
      </c>
      <c r="G523" s="42"/>
      <c r="H523" s="63">
        <v>17881.599999999999</v>
      </c>
      <c r="I523" s="63"/>
      <c r="J523" s="42"/>
      <c r="K523" s="42"/>
      <c r="L523" s="42"/>
      <c r="M523" s="63"/>
      <c r="N523" s="42"/>
      <c r="O523" s="42"/>
      <c r="P523" s="42"/>
      <c r="Q523" s="58"/>
      <c r="R523" s="42">
        <f t="shared" si="335"/>
        <v>0</v>
      </c>
      <c r="S523" s="42"/>
      <c r="T523" s="168"/>
    </row>
    <row r="524" spans="1:23" hidden="1" x14ac:dyDescent="0.25">
      <c r="A524" s="65"/>
      <c r="B524" s="51" t="s">
        <v>13</v>
      </c>
      <c r="C524" s="42"/>
      <c r="D524" s="42"/>
      <c r="E524" s="42"/>
      <c r="F524" s="42">
        <f t="shared" si="332"/>
        <v>0</v>
      </c>
      <c r="G524" s="42"/>
      <c r="H524" s="63">
        <v>17881.599999999999</v>
      </c>
      <c r="I524" s="63"/>
      <c r="J524" s="42"/>
      <c r="K524" s="42"/>
      <c r="L524" s="42"/>
      <c r="M524" s="63"/>
      <c r="N524" s="42"/>
      <c r="O524" s="42"/>
      <c r="P524" s="42"/>
      <c r="Q524" s="58"/>
      <c r="R524" s="42">
        <f t="shared" si="335"/>
        <v>0</v>
      </c>
      <c r="S524" s="42"/>
      <c r="T524" s="168"/>
    </row>
    <row r="525" spans="1:23" s="60" customFormat="1" hidden="1" x14ac:dyDescent="0.25">
      <c r="A525" s="56"/>
      <c r="B525" s="51" t="s">
        <v>27</v>
      </c>
      <c r="C525" s="58"/>
      <c r="D525" s="58"/>
      <c r="E525" s="58"/>
      <c r="F525" s="42">
        <f t="shared" si="332"/>
        <v>0</v>
      </c>
      <c r="G525" s="58"/>
      <c r="H525" s="63">
        <v>17881.599999999999</v>
      </c>
      <c r="I525" s="63"/>
      <c r="J525" s="58"/>
      <c r="K525" s="42"/>
      <c r="L525" s="58"/>
      <c r="M525" s="63"/>
      <c r="N525" s="58"/>
      <c r="O525" s="42"/>
      <c r="P525" s="42"/>
      <c r="Q525" s="58"/>
      <c r="R525" s="42">
        <f t="shared" si="335"/>
        <v>0</v>
      </c>
      <c r="S525" s="58"/>
      <c r="T525" s="168"/>
      <c r="U525" s="68"/>
      <c r="V525" s="66"/>
      <c r="W525" s="66"/>
    </row>
    <row r="526" spans="1:23" hidden="1" x14ac:dyDescent="0.25">
      <c r="A526" s="61"/>
      <c r="B526" s="51" t="s">
        <v>28</v>
      </c>
      <c r="C526" s="42"/>
      <c r="D526" s="42"/>
      <c r="E526" s="42"/>
      <c r="F526" s="42">
        <f t="shared" si="332"/>
        <v>0</v>
      </c>
      <c r="G526" s="42"/>
      <c r="H526" s="63">
        <v>17881.599999999999</v>
      </c>
      <c r="I526" s="63"/>
      <c r="J526" s="42"/>
      <c r="K526" s="42"/>
      <c r="L526" s="42"/>
      <c r="M526" s="63"/>
      <c r="N526" s="42"/>
      <c r="O526" s="42"/>
      <c r="P526" s="42"/>
      <c r="Q526" s="58"/>
      <c r="R526" s="42">
        <f t="shared" si="335"/>
        <v>0</v>
      </c>
      <c r="S526" s="42"/>
      <c r="T526" s="168"/>
    </row>
    <row r="527" spans="1:23" hidden="1" x14ac:dyDescent="0.25">
      <c r="A527" s="61"/>
      <c r="B527" s="51" t="s">
        <v>29</v>
      </c>
      <c r="C527" s="42"/>
      <c r="D527" s="42"/>
      <c r="E527" s="42"/>
      <c r="F527" s="42">
        <f t="shared" si="332"/>
        <v>0</v>
      </c>
      <c r="G527" s="42"/>
      <c r="H527" s="63">
        <v>17881.599999999999</v>
      </c>
      <c r="I527" s="63"/>
      <c r="J527" s="42"/>
      <c r="K527" s="42"/>
      <c r="L527" s="42"/>
      <c r="M527" s="63"/>
      <c r="N527" s="42"/>
      <c r="O527" s="42"/>
      <c r="P527" s="42"/>
      <c r="Q527" s="58"/>
      <c r="R527" s="42">
        <f t="shared" si="335"/>
        <v>0</v>
      </c>
      <c r="S527" s="42"/>
      <c r="T527" s="168"/>
    </row>
    <row r="528" spans="1:23" s="60" customFormat="1" x14ac:dyDescent="0.25">
      <c r="A528" s="56">
        <v>2</v>
      </c>
      <c r="B528" s="8" t="s">
        <v>232</v>
      </c>
      <c r="C528" s="58"/>
      <c r="D528" s="58"/>
      <c r="E528" s="58"/>
      <c r="F528" s="42">
        <f t="shared" si="332"/>
        <v>0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42"/>
      <c r="Q528" s="58"/>
      <c r="R528" s="42"/>
      <c r="S528" s="58"/>
      <c r="T528" s="168"/>
      <c r="U528" s="68"/>
      <c r="V528" s="66"/>
      <c r="W528" s="66"/>
    </row>
    <row r="529" spans="1:20" ht="39" hidden="1" x14ac:dyDescent="0.25">
      <c r="A529" s="61" t="s">
        <v>15</v>
      </c>
      <c r="B529" s="51" t="s">
        <v>54</v>
      </c>
      <c r="C529" s="42"/>
      <c r="D529" s="42"/>
      <c r="E529" s="42"/>
      <c r="F529" s="42">
        <f t="shared" si="332"/>
        <v>0</v>
      </c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58"/>
      <c r="R529" s="42"/>
      <c r="S529" s="42"/>
      <c r="T529" s="169"/>
    </row>
    <row r="530" spans="1:20" hidden="1" x14ac:dyDescent="0.25">
      <c r="A530" s="61"/>
      <c r="B530" s="51" t="s">
        <v>27</v>
      </c>
      <c r="C530" s="42"/>
      <c r="D530" s="42"/>
      <c r="E530" s="42"/>
      <c r="F530" s="42">
        <f t="shared" si="332"/>
        <v>0</v>
      </c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58"/>
      <c r="R530" s="42"/>
      <c r="S530" s="42"/>
      <c r="T530" s="169"/>
    </row>
    <row r="531" spans="1:20" hidden="1" x14ac:dyDescent="0.25">
      <c r="A531" s="61"/>
      <c r="B531" s="51" t="s">
        <v>28</v>
      </c>
      <c r="C531" s="42"/>
      <c r="D531" s="42"/>
      <c r="E531" s="42"/>
      <c r="F531" s="42">
        <f t="shared" si="332"/>
        <v>0</v>
      </c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58"/>
      <c r="R531" s="42"/>
      <c r="S531" s="42"/>
      <c r="T531" s="169"/>
    </row>
    <row r="532" spans="1:20" hidden="1" x14ac:dyDescent="0.25">
      <c r="A532" s="61"/>
      <c r="B532" s="51" t="s">
        <v>29</v>
      </c>
      <c r="C532" s="42"/>
      <c r="D532" s="42"/>
      <c r="E532" s="42"/>
      <c r="F532" s="42">
        <f t="shared" si="332"/>
        <v>0</v>
      </c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58"/>
      <c r="R532" s="42"/>
      <c r="S532" s="42"/>
      <c r="T532" s="169"/>
    </row>
    <row r="533" spans="1:20" ht="39" hidden="1" x14ac:dyDescent="0.25">
      <c r="A533" s="61" t="s">
        <v>59</v>
      </c>
      <c r="B533" s="51" t="s">
        <v>68</v>
      </c>
      <c r="C533" s="42"/>
      <c r="D533" s="42"/>
      <c r="E533" s="42"/>
      <c r="F533" s="42">
        <f t="shared" si="332"/>
        <v>0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58"/>
      <c r="R533" s="42"/>
      <c r="S533" s="42"/>
      <c r="T533" s="169"/>
    </row>
    <row r="534" spans="1:20" hidden="1" x14ac:dyDescent="0.25">
      <c r="A534" s="61"/>
      <c r="B534" s="51" t="s">
        <v>27</v>
      </c>
      <c r="C534" s="42"/>
      <c r="D534" s="42"/>
      <c r="E534" s="42"/>
      <c r="F534" s="42">
        <f t="shared" si="332"/>
        <v>0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58"/>
      <c r="R534" s="42"/>
      <c r="S534" s="42"/>
      <c r="T534" s="169"/>
    </row>
    <row r="535" spans="1:20" hidden="1" x14ac:dyDescent="0.25">
      <c r="A535" s="61"/>
      <c r="B535" s="51" t="s">
        <v>28</v>
      </c>
      <c r="C535" s="42"/>
      <c r="D535" s="42"/>
      <c r="E535" s="42"/>
      <c r="F535" s="42">
        <f t="shared" si="332"/>
        <v>0</v>
      </c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58"/>
      <c r="R535" s="42"/>
      <c r="S535" s="42"/>
      <c r="T535" s="169"/>
    </row>
    <row r="536" spans="1:20" hidden="1" x14ac:dyDescent="0.25">
      <c r="A536" s="61"/>
      <c r="B536" s="51" t="s">
        <v>29</v>
      </c>
      <c r="C536" s="42"/>
      <c r="D536" s="42"/>
      <c r="E536" s="42"/>
      <c r="F536" s="42">
        <f t="shared" si="332"/>
        <v>0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58"/>
      <c r="R536" s="42"/>
      <c r="S536" s="42"/>
      <c r="T536" s="169"/>
    </row>
    <row r="537" spans="1:20" ht="39" hidden="1" x14ac:dyDescent="0.25">
      <c r="A537" s="61" t="s">
        <v>60</v>
      </c>
      <c r="B537" s="51" t="s">
        <v>55</v>
      </c>
      <c r="C537" s="42"/>
      <c r="D537" s="42"/>
      <c r="E537" s="42"/>
      <c r="F537" s="42">
        <f t="shared" si="332"/>
        <v>0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58"/>
      <c r="R537" s="42"/>
      <c r="S537" s="42"/>
      <c r="T537" s="169"/>
    </row>
    <row r="538" spans="1:20" hidden="1" x14ac:dyDescent="0.25">
      <c r="A538" s="61"/>
      <c r="B538" s="51" t="s">
        <v>27</v>
      </c>
      <c r="C538" s="42"/>
      <c r="D538" s="42"/>
      <c r="E538" s="42"/>
      <c r="F538" s="42">
        <f t="shared" si="332"/>
        <v>0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58"/>
      <c r="R538" s="42"/>
      <c r="S538" s="42"/>
      <c r="T538" s="169"/>
    </row>
    <row r="539" spans="1:20" hidden="1" x14ac:dyDescent="0.25">
      <c r="A539" s="61"/>
      <c r="B539" s="51" t="s">
        <v>28</v>
      </c>
      <c r="C539" s="42"/>
      <c r="D539" s="42"/>
      <c r="E539" s="42"/>
      <c r="F539" s="42">
        <f t="shared" si="332"/>
        <v>0</v>
      </c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58"/>
      <c r="R539" s="42"/>
      <c r="S539" s="42"/>
      <c r="T539" s="169"/>
    </row>
    <row r="540" spans="1:20" hidden="1" x14ac:dyDescent="0.25">
      <c r="A540" s="61"/>
      <c r="B540" s="51" t="s">
        <v>29</v>
      </c>
      <c r="C540" s="42"/>
      <c r="D540" s="42"/>
      <c r="E540" s="42"/>
      <c r="F540" s="42">
        <f t="shared" si="332"/>
        <v>0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58"/>
      <c r="R540" s="42"/>
      <c r="S540" s="42"/>
      <c r="T540" s="169"/>
    </row>
    <row r="541" spans="1:20" ht="39" x14ac:dyDescent="0.25">
      <c r="A541" s="61" t="s">
        <v>239</v>
      </c>
      <c r="B541" s="51" t="s">
        <v>56</v>
      </c>
      <c r="C541" s="42"/>
      <c r="D541" s="42"/>
      <c r="E541" s="42"/>
      <c r="F541" s="42">
        <f t="shared" si="332"/>
        <v>0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58"/>
      <c r="R541" s="42"/>
      <c r="S541" s="42"/>
      <c r="T541" s="168"/>
    </row>
    <row r="542" spans="1:20" hidden="1" x14ac:dyDescent="0.25">
      <c r="A542" s="61"/>
      <c r="B542" s="51" t="s">
        <v>27</v>
      </c>
      <c r="C542" s="42"/>
      <c r="D542" s="42"/>
      <c r="E542" s="42"/>
      <c r="F542" s="42">
        <f t="shared" si="332"/>
        <v>0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58"/>
      <c r="R542" s="42"/>
      <c r="S542" s="42"/>
      <c r="T542" s="168"/>
    </row>
    <row r="543" spans="1:20" x14ac:dyDescent="0.25">
      <c r="A543" s="61"/>
      <c r="B543" s="51" t="s">
        <v>28</v>
      </c>
      <c r="C543" s="42">
        <v>20</v>
      </c>
      <c r="D543" s="42">
        <v>50772</v>
      </c>
      <c r="E543" s="42">
        <f t="shared" ref="E543" si="341">C543*D543</f>
        <v>1015440</v>
      </c>
      <c r="F543" s="42">
        <f t="shared" si="332"/>
        <v>17973</v>
      </c>
      <c r="G543" s="42">
        <f t="shared" ref="G543" si="342">C543*F543</f>
        <v>359460</v>
      </c>
      <c r="H543" s="63">
        <v>17881.599999999999</v>
      </c>
      <c r="I543" s="117">
        <v>0.71699999999999997</v>
      </c>
      <c r="J543" s="42">
        <f t="shared" ref="J543" si="343">H543*I543</f>
        <v>12821.107199999999</v>
      </c>
      <c r="K543" s="42">
        <f>ROUND(C543*J543,0)+155072</f>
        <v>411494</v>
      </c>
      <c r="L543" s="42"/>
      <c r="M543" s="63"/>
      <c r="N543" s="42"/>
      <c r="O543" s="42"/>
      <c r="P543" s="42">
        <f t="shared" ref="P543:P563" si="344">D543+F543+J543+N543</f>
        <v>81566.107199999999</v>
      </c>
      <c r="Q543" s="58"/>
      <c r="R543" s="42">
        <f t="shared" ref="R543:R563" si="345">E543+G543+K543+O543</f>
        <v>1786394</v>
      </c>
      <c r="S543" s="42"/>
      <c r="T543" s="168"/>
    </row>
    <row r="544" spans="1:20" hidden="1" x14ac:dyDescent="0.25">
      <c r="A544" s="61"/>
      <c r="B544" s="51" t="s">
        <v>29</v>
      </c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>
        <f t="shared" si="344"/>
        <v>0</v>
      </c>
      <c r="Q544" s="58"/>
      <c r="R544" s="42">
        <f t="shared" si="345"/>
        <v>0</v>
      </c>
      <c r="S544" s="42"/>
      <c r="T544" s="168"/>
    </row>
    <row r="545" spans="1:20" ht="51.75" hidden="1" x14ac:dyDescent="0.25">
      <c r="A545" s="61" t="s">
        <v>62</v>
      </c>
      <c r="B545" s="51" t="s">
        <v>57</v>
      </c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>
        <f t="shared" si="344"/>
        <v>0</v>
      </c>
      <c r="Q545" s="58"/>
      <c r="R545" s="42">
        <f t="shared" si="345"/>
        <v>0</v>
      </c>
      <c r="S545" s="42"/>
      <c r="T545" s="168"/>
    </row>
    <row r="546" spans="1:20" hidden="1" x14ac:dyDescent="0.25">
      <c r="A546" s="61"/>
      <c r="B546" s="51" t="s">
        <v>27</v>
      </c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>
        <f t="shared" si="344"/>
        <v>0</v>
      </c>
      <c r="Q546" s="58"/>
      <c r="R546" s="42">
        <f t="shared" si="345"/>
        <v>0</v>
      </c>
      <c r="S546" s="42"/>
      <c r="T546" s="168"/>
    </row>
    <row r="547" spans="1:20" hidden="1" x14ac:dyDescent="0.25">
      <c r="A547" s="61"/>
      <c r="B547" s="51" t="s">
        <v>28</v>
      </c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>
        <f t="shared" si="344"/>
        <v>0</v>
      </c>
      <c r="Q547" s="58"/>
      <c r="R547" s="42">
        <f t="shared" si="345"/>
        <v>0</v>
      </c>
      <c r="S547" s="42"/>
      <c r="T547" s="168"/>
    </row>
    <row r="548" spans="1:20" hidden="1" x14ac:dyDescent="0.25">
      <c r="A548" s="61"/>
      <c r="B548" s="51" t="s">
        <v>29</v>
      </c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>
        <f t="shared" si="344"/>
        <v>0</v>
      </c>
      <c r="Q548" s="58"/>
      <c r="R548" s="42">
        <f t="shared" si="345"/>
        <v>0</v>
      </c>
      <c r="S548" s="42"/>
      <c r="T548" s="168"/>
    </row>
    <row r="549" spans="1:20" ht="51.75" hidden="1" x14ac:dyDescent="0.25">
      <c r="A549" s="61" t="s">
        <v>63</v>
      </c>
      <c r="B549" s="51" t="s">
        <v>58</v>
      </c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>
        <f t="shared" si="344"/>
        <v>0</v>
      </c>
      <c r="Q549" s="58"/>
      <c r="R549" s="42">
        <f t="shared" si="345"/>
        <v>0</v>
      </c>
      <c r="S549" s="42"/>
      <c r="T549" s="168"/>
    </row>
    <row r="550" spans="1:20" hidden="1" x14ac:dyDescent="0.25">
      <c r="A550" s="61"/>
      <c r="B550" s="51" t="s">
        <v>27</v>
      </c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>
        <f t="shared" si="344"/>
        <v>0</v>
      </c>
      <c r="Q550" s="58"/>
      <c r="R550" s="42">
        <f t="shared" si="345"/>
        <v>0</v>
      </c>
      <c r="S550" s="42"/>
      <c r="T550" s="168"/>
    </row>
    <row r="551" spans="1:20" hidden="1" x14ac:dyDescent="0.25">
      <c r="A551" s="61"/>
      <c r="B551" s="51" t="s">
        <v>28</v>
      </c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>
        <f t="shared" si="344"/>
        <v>0</v>
      </c>
      <c r="Q551" s="58"/>
      <c r="R551" s="42">
        <f t="shared" si="345"/>
        <v>0</v>
      </c>
      <c r="S551" s="42"/>
      <c r="T551" s="168"/>
    </row>
    <row r="552" spans="1:20" hidden="1" x14ac:dyDescent="0.25">
      <c r="A552" s="61"/>
      <c r="B552" s="51" t="s">
        <v>29</v>
      </c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>
        <f t="shared" si="344"/>
        <v>0</v>
      </c>
      <c r="Q552" s="58"/>
      <c r="R552" s="42">
        <f t="shared" si="345"/>
        <v>0</v>
      </c>
      <c r="S552" s="42"/>
      <c r="T552" s="168"/>
    </row>
    <row r="553" spans="1:20" ht="39" hidden="1" x14ac:dyDescent="0.25">
      <c r="A553" s="61" t="s">
        <v>64</v>
      </c>
      <c r="B553" s="51" t="s">
        <v>30</v>
      </c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>
        <f t="shared" si="344"/>
        <v>0</v>
      </c>
      <c r="Q553" s="58"/>
      <c r="R553" s="42">
        <f t="shared" si="345"/>
        <v>0</v>
      </c>
      <c r="S553" s="42"/>
      <c r="T553" s="168"/>
    </row>
    <row r="554" spans="1:20" hidden="1" x14ac:dyDescent="0.25">
      <c r="A554" s="61"/>
      <c r="B554" s="51" t="s">
        <v>27</v>
      </c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>
        <f t="shared" si="344"/>
        <v>0</v>
      </c>
      <c r="Q554" s="58"/>
      <c r="R554" s="42">
        <f t="shared" si="345"/>
        <v>0</v>
      </c>
      <c r="S554" s="42"/>
      <c r="T554" s="168"/>
    </row>
    <row r="555" spans="1:20" hidden="1" x14ac:dyDescent="0.25">
      <c r="A555" s="61"/>
      <c r="B555" s="51" t="s">
        <v>28</v>
      </c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>
        <f t="shared" si="344"/>
        <v>0</v>
      </c>
      <c r="Q555" s="58"/>
      <c r="R555" s="42">
        <f t="shared" si="345"/>
        <v>0</v>
      </c>
      <c r="S555" s="42"/>
      <c r="T555" s="168"/>
    </row>
    <row r="556" spans="1:20" hidden="1" x14ac:dyDescent="0.25">
      <c r="A556" s="61"/>
      <c r="B556" s="51" t="s">
        <v>29</v>
      </c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>
        <f t="shared" si="344"/>
        <v>0</v>
      </c>
      <c r="Q556" s="58"/>
      <c r="R556" s="42">
        <f t="shared" si="345"/>
        <v>0</v>
      </c>
      <c r="S556" s="42"/>
      <c r="T556" s="168"/>
    </row>
    <row r="557" spans="1:20" ht="39" hidden="1" x14ac:dyDescent="0.25">
      <c r="A557" s="61"/>
      <c r="B557" s="51" t="s">
        <v>9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>
        <f t="shared" si="344"/>
        <v>0</v>
      </c>
      <c r="Q557" s="58"/>
      <c r="R557" s="42">
        <f t="shared" si="345"/>
        <v>0</v>
      </c>
      <c r="S557" s="42"/>
      <c r="T557" s="168"/>
    </row>
    <row r="558" spans="1:20" ht="39" hidden="1" x14ac:dyDescent="0.25">
      <c r="A558" s="61"/>
      <c r="B558" s="51" t="s">
        <v>11</v>
      </c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>
        <f t="shared" si="344"/>
        <v>0</v>
      </c>
      <c r="Q558" s="58"/>
      <c r="R558" s="42">
        <f t="shared" si="345"/>
        <v>0</v>
      </c>
      <c r="S558" s="42"/>
      <c r="T558" s="168"/>
    </row>
    <row r="559" spans="1:20" hidden="1" x14ac:dyDescent="0.25">
      <c r="A559" s="61"/>
      <c r="B559" s="51" t="s">
        <v>13</v>
      </c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>
        <f t="shared" si="344"/>
        <v>0</v>
      </c>
      <c r="Q559" s="58"/>
      <c r="R559" s="42">
        <f t="shared" si="345"/>
        <v>0</v>
      </c>
      <c r="S559" s="42"/>
      <c r="T559" s="168"/>
    </row>
    <row r="560" spans="1:20" hidden="1" x14ac:dyDescent="0.25">
      <c r="A560" s="61"/>
      <c r="B560" s="61" t="s">
        <v>14</v>
      </c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>
        <f t="shared" si="344"/>
        <v>0</v>
      </c>
      <c r="Q560" s="58"/>
      <c r="R560" s="42">
        <f t="shared" si="345"/>
        <v>0</v>
      </c>
      <c r="S560" s="42"/>
      <c r="T560" s="168"/>
    </row>
    <row r="561" spans="1:23" hidden="1" x14ac:dyDescent="0.25">
      <c r="A561" s="61"/>
      <c r="B561" s="61" t="s">
        <v>17</v>
      </c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>
        <f t="shared" si="344"/>
        <v>0</v>
      </c>
      <c r="Q561" s="58"/>
      <c r="R561" s="42">
        <f t="shared" si="345"/>
        <v>0</v>
      </c>
      <c r="S561" s="42"/>
      <c r="T561" s="168"/>
    </row>
    <row r="562" spans="1:23" hidden="1" x14ac:dyDescent="0.25">
      <c r="A562" s="61"/>
      <c r="B562" s="61" t="s">
        <v>14</v>
      </c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>
        <f t="shared" si="344"/>
        <v>0</v>
      </c>
      <c r="Q562" s="58"/>
      <c r="R562" s="42">
        <f t="shared" si="345"/>
        <v>0</v>
      </c>
      <c r="S562" s="42"/>
      <c r="T562" s="168"/>
    </row>
    <row r="563" spans="1:23" x14ac:dyDescent="0.25">
      <c r="A563" s="65"/>
      <c r="B563" s="51" t="s">
        <v>13</v>
      </c>
      <c r="C563" s="42">
        <v>107</v>
      </c>
      <c r="D563" s="42"/>
      <c r="E563" s="42"/>
      <c r="F563" s="42"/>
      <c r="G563" s="42"/>
      <c r="H563" s="42"/>
      <c r="I563" s="42"/>
      <c r="J563" s="42"/>
      <c r="K563" s="42"/>
      <c r="L563" s="63">
        <v>4769.12</v>
      </c>
      <c r="M563" s="63">
        <v>1.44</v>
      </c>
      <c r="N563" s="42">
        <f t="shared" ref="N563" si="346">L563*M563</f>
        <v>6867.5328</v>
      </c>
      <c r="O563" s="42">
        <f t="shared" ref="O563" si="347">ROUND(C563*N563,0)</f>
        <v>734826</v>
      </c>
      <c r="P563" s="42">
        <f t="shared" si="344"/>
        <v>6867.5328</v>
      </c>
      <c r="Q563" s="58"/>
      <c r="R563" s="42">
        <f t="shared" si="345"/>
        <v>734826</v>
      </c>
      <c r="S563" s="42"/>
      <c r="T563" s="168"/>
    </row>
    <row r="564" spans="1:23" s="60" customFormat="1" hidden="1" x14ac:dyDescent="0.25">
      <c r="A564" s="56"/>
      <c r="B564" s="51" t="s">
        <v>27</v>
      </c>
      <c r="C564" s="58"/>
      <c r="D564" s="58"/>
      <c r="E564" s="58"/>
      <c r="F564" s="42"/>
      <c r="G564" s="58"/>
      <c r="H564" s="58"/>
      <c r="I564" s="58"/>
      <c r="J564" s="42"/>
      <c r="K564" s="42"/>
      <c r="L564" s="42"/>
      <c r="M564" s="42"/>
      <c r="N564" s="42"/>
      <c r="O564" s="42"/>
      <c r="P564" s="42"/>
      <c r="Q564" s="58"/>
      <c r="R564" s="42"/>
      <c r="S564" s="58"/>
      <c r="T564" s="168"/>
      <c r="U564" s="68"/>
      <c r="V564" s="66"/>
      <c r="W564" s="66"/>
    </row>
    <row r="565" spans="1:23" hidden="1" x14ac:dyDescent="0.25">
      <c r="A565" s="61"/>
      <c r="B565" s="51" t="s">
        <v>28</v>
      </c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58"/>
      <c r="R565" s="42"/>
      <c r="S565" s="42"/>
      <c r="T565" s="168"/>
    </row>
    <row r="566" spans="1:23" hidden="1" x14ac:dyDescent="0.25">
      <c r="A566" s="90"/>
      <c r="B566" s="91" t="s">
        <v>29</v>
      </c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3"/>
      <c r="R566" s="92"/>
      <c r="S566" s="92"/>
      <c r="T566" s="171"/>
    </row>
    <row r="567" spans="1:23" s="66" customFormat="1" x14ac:dyDescent="0.25">
      <c r="A567" s="97"/>
      <c r="B567" s="86" t="s">
        <v>74</v>
      </c>
      <c r="C567" s="98">
        <f>C491+C492+C493+C543</f>
        <v>107</v>
      </c>
      <c r="D567" s="98"/>
      <c r="E567" s="98">
        <f>E491+E492+E493+E543+E563</f>
        <v>5363000</v>
      </c>
      <c r="F567" s="98"/>
      <c r="G567" s="98">
        <f>G491+G492+G493+G543+G563</f>
        <v>1880000</v>
      </c>
      <c r="H567" s="98"/>
      <c r="I567" s="98"/>
      <c r="J567" s="98"/>
      <c r="K567" s="98">
        <f>K491+K492+K493+K543+K563</f>
        <v>1528174</v>
      </c>
      <c r="L567" s="98"/>
      <c r="M567" s="98"/>
      <c r="N567" s="98"/>
      <c r="O567" s="98">
        <f>O491+O492+O493+O543+O563</f>
        <v>734826</v>
      </c>
      <c r="P567" s="75"/>
      <c r="Q567" s="75"/>
      <c r="R567" s="98">
        <f>R491+R492+R493+R543+R563</f>
        <v>9506000</v>
      </c>
      <c r="S567" s="98">
        <v>34000</v>
      </c>
      <c r="T567" s="170">
        <f>R567+S567</f>
        <v>9540000</v>
      </c>
      <c r="U567" s="180"/>
      <c r="V567" s="180"/>
    </row>
    <row r="568" spans="1:23" s="60" customFormat="1" x14ac:dyDescent="0.25">
      <c r="A568" s="95">
        <v>20</v>
      </c>
      <c r="B568" s="118" t="s">
        <v>75</v>
      </c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0"/>
      <c r="Q568" s="71"/>
      <c r="R568" s="71"/>
      <c r="S568" s="71"/>
      <c r="T568" s="172"/>
      <c r="U568" s="68"/>
      <c r="V568" s="68"/>
      <c r="W568" s="66"/>
    </row>
    <row r="569" spans="1:23" ht="39" x14ac:dyDescent="0.25">
      <c r="A569" s="61" t="s">
        <v>240</v>
      </c>
      <c r="B569" s="51" t="s">
        <v>54</v>
      </c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58"/>
      <c r="R569" s="42"/>
      <c r="S569" s="42"/>
      <c r="T569" s="168"/>
    </row>
    <row r="570" spans="1:23" x14ac:dyDescent="0.25">
      <c r="A570" s="61"/>
      <c r="B570" s="51" t="s">
        <v>287</v>
      </c>
      <c r="C570" s="42">
        <v>15</v>
      </c>
      <c r="D570" s="42">
        <v>74111</v>
      </c>
      <c r="E570" s="42">
        <f>C570*D570+39677</f>
        <v>1151342</v>
      </c>
      <c r="F570" s="42">
        <f t="shared" ref="F570:F572" si="348">ROUND(D570*35.4%,0)</f>
        <v>26235</v>
      </c>
      <c r="G570" s="42">
        <f>C570*F570-8258</f>
        <v>385267</v>
      </c>
      <c r="H570" s="63">
        <v>17881.599999999999</v>
      </c>
      <c r="I570" s="63">
        <v>0.84399999999999997</v>
      </c>
      <c r="J570" s="42">
        <f t="shared" ref="J570" si="349">H570*I570</f>
        <v>15092.070399999999</v>
      </c>
      <c r="K570" s="42">
        <f>ROUND(C570*J570,0)+972+211885</f>
        <v>439238</v>
      </c>
      <c r="L570" s="42"/>
      <c r="M570" s="42"/>
      <c r="N570" s="42"/>
      <c r="O570" s="42"/>
      <c r="P570" s="42">
        <f t="shared" ref="P570:P602" si="350">D570+F570+J570+N570</f>
        <v>115438.0704</v>
      </c>
      <c r="Q570" s="58"/>
      <c r="R570" s="42">
        <f t="shared" ref="R570:R572" si="351">E570+G570+K570+O570</f>
        <v>1975847</v>
      </c>
      <c r="S570" s="42"/>
      <c r="T570" s="168"/>
    </row>
    <row r="571" spans="1:23" x14ac:dyDescent="0.25">
      <c r="A571" s="61"/>
      <c r="B571" s="51" t="s">
        <v>28</v>
      </c>
      <c r="C571" s="42">
        <v>90</v>
      </c>
      <c r="D571" s="42">
        <v>44466</v>
      </c>
      <c r="E571" s="42">
        <f t="shared" ref="E571:E572" si="352">C571*D571</f>
        <v>4001940</v>
      </c>
      <c r="F571" s="42">
        <f t="shared" si="348"/>
        <v>15741</v>
      </c>
      <c r="G571" s="42">
        <f t="shared" ref="G571:G572" si="353">C571*F571</f>
        <v>1416690</v>
      </c>
      <c r="H571" s="63">
        <v>17881.599999999999</v>
      </c>
      <c r="I571" s="63">
        <v>0.84399999999999997</v>
      </c>
      <c r="J571" s="42">
        <f t="shared" ref="J571:J602" si="354">H571*I571</f>
        <v>15092.070399999999</v>
      </c>
      <c r="K571" s="42">
        <f t="shared" ref="K571:K602" si="355">ROUND(C571*J571,0)</f>
        <v>1358286</v>
      </c>
      <c r="L571" s="42"/>
      <c r="M571" s="42"/>
      <c r="N571" s="42"/>
      <c r="O571" s="42"/>
      <c r="P571" s="42">
        <f t="shared" si="350"/>
        <v>75299.070399999997</v>
      </c>
      <c r="Q571" s="58"/>
      <c r="R571" s="42">
        <f t="shared" si="351"/>
        <v>6776916</v>
      </c>
      <c r="S571" s="42"/>
      <c r="T571" s="168"/>
    </row>
    <row r="572" spans="1:23" x14ac:dyDescent="0.25">
      <c r="A572" s="61"/>
      <c r="B572" s="51" t="s">
        <v>289</v>
      </c>
      <c r="C572" s="42">
        <v>23</v>
      </c>
      <c r="D572" s="42">
        <v>44466</v>
      </c>
      <c r="E572" s="42">
        <f t="shared" si="352"/>
        <v>1022718</v>
      </c>
      <c r="F572" s="42">
        <f t="shared" si="348"/>
        <v>15741</v>
      </c>
      <c r="G572" s="42">
        <f t="shared" si="353"/>
        <v>362043</v>
      </c>
      <c r="H572" s="63">
        <v>17881.599999999999</v>
      </c>
      <c r="I572" s="63">
        <v>0.84399999999999997</v>
      </c>
      <c r="J572" s="42">
        <f t="shared" si="354"/>
        <v>15092.070399999999</v>
      </c>
      <c r="K572" s="42">
        <f t="shared" si="355"/>
        <v>347118</v>
      </c>
      <c r="L572" s="42"/>
      <c r="M572" s="42"/>
      <c r="N572" s="42"/>
      <c r="O572" s="42"/>
      <c r="P572" s="42">
        <f t="shared" si="350"/>
        <v>75299.070399999997</v>
      </c>
      <c r="Q572" s="58"/>
      <c r="R572" s="42">
        <f t="shared" si="351"/>
        <v>1731879</v>
      </c>
      <c r="S572" s="42"/>
      <c r="T572" s="168"/>
    </row>
    <row r="573" spans="1:23" ht="39" hidden="1" x14ac:dyDescent="0.25">
      <c r="A573" s="61" t="s">
        <v>59</v>
      </c>
      <c r="B573" s="51" t="s">
        <v>68</v>
      </c>
      <c r="C573" s="42"/>
      <c r="D573" s="42"/>
      <c r="E573" s="42"/>
      <c r="F573" s="42"/>
      <c r="G573" s="42"/>
      <c r="H573" s="63">
        <v>16409.580000000002</v>
      </c>
      <c r="I573" s="63">
        <v>0.81</v>
      </c>
      <c r="J573" s="42">
        <f t="shared" si="354"/>
        <v>13291.759800000002</v>
      </c>
      <c r="K573" s="42">
        <f t="shared" si="355"/>
        <v>0</v>
      </c>
      <c r="L573" s="42"/>
      <c r="M573" s="42"/>
      <c r="N573" s="42"/>
      <c r="O573" s="42"/>
      <c r="P573" s="42">
        <f t="shared" si="350"/>
        <v>13291.759800000002</v>
      </c>
      <c r="Q573" s="58"/>
      <c r="R573" s="42"/>
      <c r="S573" s="42"/>
      <c r="T573" s="168"/>
    </row>
    <row r="574" spans="1:23" hidden="1" x14ac:dyDescent="0.25">
      <c r="A574" s="61"/>
      <c r="B574" s="51" t="s">
        <v>27</v>
      </c>
      <c r="C574" s="42"/>
      <c r="D574" s="42"/>
      <c r="E574" s="42"/>
      <c r="F574" s="42"/>
      <c r="G574" s="42"/>
      <c r="H574" s="63">
        <v>16409.580000000002</v>
      </c>
      <c r="I574" s="63">
        <v>0.81</v>
      </c>
      <c r="J574" s="42">
        <f t="shared" si="354"/>
        <v>13291.759800000002</v>
      </c>
      <c r="K574" s="42">
        <f t="shared" si="355"/>
        <v>0</v>
      </c>
      <c r="L574" s="42"/>
      <c r="M574" s="42"/>
      <c r="N574" s="42"/>
      <c r="O574" s="42"/>
      <c r="P574" s="42">
        <f t="shared" si="350"/>
        <v>13291.759800000002</v>
      </c>
      <c r="Q574" s="58"/>
      <c r="R574" s="42"/>
      <c r="S574" s="42"/>
      <c r="T574" s="168"/>
    </row>
    <row r="575" spans="1:23" hidden="1" x14ac:dyDescent="0.25">
      <c r="A575" s="61"/>
      <c r="B575" s="51" t="s">
        <v>28</v>
      </c>
      <c r="C575" s="42"/>
      <c r="D575" s="42"/>
      <c r="E575" s="42"/>
      <c r="F575" s="42"/>
      <c r="G575" s="42"/>
      <c r="H575" s="63">
        <v>16409.580000000002</v>
      </c>
      <c r="I575" s="63">
        <v>0.81</v>
      </c>
      <c r="J575" s="42">
        <f t="shared" si="354"/>
        <v>13291.759800000002</v>
      </c>
      <c r="K575" s="42">
        <f t="shared" si="355"/>
        <v>0</v>
      </c>
      <c r="L575" s="42"/>
      <c r="M575" s="42"/>
      <c r="N575" s="42"/>
      <c r="O575" s="42"/>
      <c r="P575" s="42">
        <f t="shared" si="350"/>
        <v>13291.759800000002</v>
      </c>
      <c r="Q575" s="58"/>
      <c r="R575" s="42"/>
      <c r="S575" s="42"/>
      <c r="T575" s="168"/>
    </row>
    <row r="576" spans="1:23" hidden="1" x14ac:dyDescent="0.25">
      <c r="A576" s="61"/>
      <c r="B576" s="51" t="s">
        <v>29</v>
      </c>
      <c r="C576" s="42"/>
      <c r="D576" s="42"/>
      <c r="E576" s="42"/>
      <c r="F576" s="42"/>
      <c r="G576" s="42"/>
      <c r="H576" s="63">
        <v>16409.580000000002</v>
      </c>
      <c r="I576" s="63">
        <v>0.81</v>
      </c>
      <c r="J576" s="42">
        <f t="shared" si="354"/>
        <v>13291.759800000002</v>
      </c>
      <c r="K576" s="42">
        <f t="shared" si="355"/>
        <v>0</v>
      </c>
      <c r="L576" s="42"/>
      <c r="M576" s="42"/>
      <c r="N576" s="42"/>
      <c r="O576" s="42"/>
      <c r="P576" s="42">
        <f t="shared" si="350"/>
        <v>13291.759800000002</v>
      </c>
      <c r="Q576" s="58"/>
      <c r="R576" s="42"/>
      <c r="S576" s="42"/>
      <c r="T576" s="168"/>
    </row>
    <row r="577" spans="1:20" ht="39" hidden="1" x14ac:dyDescent="0.25">
      <c r="A577" s="61" t="s">
        <v>60</v>
      </c>
      <c r="B577" s="51" t="s">
        <v>55</v>
      </c>
      <c r="C577" s="42"/>
      <c r="D577" s="42"/>
      <c r="E577" s="42"/>
      <c r="F577" s="42"/>
      <c r="G577" s="42"/>
      <c r="H577" s="63">
        <v>16409.580000000002</v>
      </c>
      <c r="I577" s="63">
        <v>0.81</v>
      </c>
      <c r="J577" s="42">
        <f t="shared" si="354"/>
        <v>13291.759800000002</v>
      </c>
      <c r="K577" s="42">
        <f t="shared" si="355"/>
        <v>0</v>
      </c>
      <c r="L577" s="42"/>
      <c r="M577" s="42"/>
      <c r="N577" s="42"/>
      <c r="O577" s="42"/>
      <c r="P577" s="42">
        <f t="shared" si="350"/>
        <v>13291.759800000002</v>
      </c>
      <c r="Q577" s="58"/>
      <c r="R577" s="42"/>
      <c r="S577" s="42"/>
      <c r="T577" s="168"/>
    </row>
    <row r="578" spans="1:20" hidden="1" x14ac:dyDescent="0.25">
      <c r="A578" s="61"/>
      <c r="B578" s="51" t="s">
        <v>27</v>
      </c>
      <c r="C578" s="42"/>
      <c r="D578" s="42"/>
      <c r="E578" s="42"/>
      <c r="F578" s="42"/>
      <c r="G578" s="42"/>
      <c r="H578" s="63">
        <v>16409.580000000002</v>
      </c>
      <c r="I578" s="63">
        <v>0.81</v>
      </c>
      <c r="J578" s="42">
        <f t="shared" si="354"/>
        <v>13291.759800000002</v>
      </c>
      <c r="K578" s="42">
        <f t="shared" si="355"/>
        <v>0</v>
      </c>
      <c r="L578" s="42"/>
      <c r="M578" s="42"/>
      <c r="N578" s="42"/>
      <c r="O578" s="42"/>
      <c r="P578" s="42">
        <f t="shared" si="350"/>
        <v>13291.759800000002</v>
      </c>
      <c r="Q578" s="58"/>
      <c r="R578" s="42"/>
      <c r="S578" s="42"/>
      <c r="T578" s="168"/>
    </row>
    <row r="579" spans="1:20" hidden="1" x14ac:dyDescent="0.25">
      <c r="A579" s="61"/>
      <c r="B579" s="51" t="s">
        <v>28</v>
      </c>
      <c r="C579" s="42"/>
      <c r="D579" s="42"/>
      <c r="E579" s="42"/>
      <c r="F579" s="42"/>
      <c r="G579" s="42"/>
      <c r="H579" s="63">
        <v>16409.580000000002</v>
      </c>
      <c r="I579" s="63">
        <v>0.81</v>
      </c>
      <c r="J579" s="42">
        <f t="shared" si="354"/>
        <v>13291.759800000002</v>
      </c>
      <c r="K579" s="42">
        <f t="shared" si="355"/>
        <v>0</v>
      </c>
      <c r="L579" s="42"/>
      <c r="M579" s="42"/>
      <c r="N579" s="42"/>
      <c r="O579" s="42"/>
      <c r="P579" s="42">
        <f t="shared" si="350"/>
        <v>13291.759800000002</v>
      </c>
      <c r="Q579" s="58"/>
      <c r="R579" s="42"/>
      <c r="S579" s="42"/>
      <c r="T579" s="168"/>
    </row>
    <row r="580" spans="1:20" hidden="1" x14ac:dyDescent="0.25">
      <c r="A580" s="61"/>
      <c r="B580" s="51" t="s">
        <v>29</v>
      </c>
      <c r="C580" s="42"/>
      <c r="D580" s="42"/>
      <c r="E580" s="42"/>
      <c r="F580" s="42"/>
      <c r="G580" s="42"/>
      <c r="H580" s="63">
        <v>16409.580000000002</v>
      </c>
      <c r="I580" s="63">
        <v>0.81</v>
      </c>
      <c r="J580" s="42">
        <f t="shared" si="354"/>
        <v>13291.759800000002</v>
      </c>
      <c r="K580" s="42">
        <f t="shared" si="355"/>
        <v>0</v>
      </c>
      <c r="L580" s="42"/>
      <c r="M580" s="42"/>
      <c r="N580" s="42"/>
      <c r="O580" s="42"/>
      <c r="P580" s="42">
        <f t="shared" si="350"/>
        <v>13291.759800000002</v>
      </c>
      <c r="Q580" s="58"/>
      <c r="R580" s="42"/>
      <c r="S580" s="42"/>
      <c r="T580" s="168"/>
    </row>
    <row r="581" spans="1:20" ht="39" hidden="1" x14ac:dyDescent="0.25">
      <c r="A581" s="61" t="s">
        <v>61</v>
      </c>
      <c r="B581" s="51" t="s">
        <v>56</v>
      </c>
      <c r="C581" s="42"/>
      <c r="D581" s="42"/>
      <c r="E581" s="42"/>
      <c r="F581" s="42"/>
      <c r="G581" s="42"/>
      <c r="H581" s="63">
        <v>16409.580000000002</v>
      </c>
      <c r="I581" s="63">
        <v>0.81</v>
      </c>
      <c r="J581" s="42">
        <f t="shared" si="354"/>
        <v>13291.759800000002</v>
      </c>
      <c r="K581" s="42">
        <f t="shared" si="355"/>
        <v>0</v>
      </c>
      <c r="L581" s="42"/>
      <c r="M581" s="42"/>
      <c r="N581" s="42"/>
      <c r="O581" s="42"/>
      <c r="P581" s="42">
        <f t="shared" si="350"/>
        <v>13291.759800000002</v>
      </c>
      <c r="Q581" s="58"/>
      <c r="R581" s="42"/>
      <c r="S581" s="42"/>
      <c r="T581" s="168"/>
    </row>
    <row r="582" spans="1:20" hidden="1" x14ac:dyDescent="0.25">
      <c r="A582" s="61"/>
      <c r="B582" s="51" t="s">
        <v>27</v>
      </c>
      <c r="C582" s="42"/>
      <c r="D582" s="42"/>
      <c r="E582" s="42"/>
      <c r="F582" s="42"/>
      <c r="G582" s="42"/>
      <c r="H582" s="63">
        <v>16409.580000000002</v>
      </c>
      <c r="I582" s="63">
        <v>0.81</v>
      </c>
      <c r="J582" s="42">
        <f t="shared" si="354"/>
        <v>13291.759800000002</v>
      </c>
      <c r="K582" s="42">
        <f t="shared" si="355"/>
        <v>0</v>
      </c>
      <c r="L582" s="42"/>
      <c r="M582" s="42"/>
      <c r="N582" s="42"/>
      <c r="O582" s="42"/>
      <c r="P582" s="42">
        <f t="shared" si="350"/>
        <v>13291.759800000002</v>
      </c>
      <c r="Q582" s="58"/>
      <c r="R582" s="42"/>
      <c r="S582" s="42"/>
      <c r="T582" s="168"/>
    </row>
    <row r="583" spans="1:20" hidden="1" x14ac:dyDescent="0.25">
      <c r="A583" s="61"/>
      <c r="B583" s="51" t="s">
        <v>28</v>
      </c>
      <c r="C583" s="42"/>
      <c r="D583" s="42"/>
      <c r="E583" s="42"/>
      <c r="F583" s="42"/>
      <c r="G583" s="42"/>
      <c r="H583" s="63">
        <v>16409.580000000002</v>
      </c>
      <c r="I583" s="63">
        <v>0.81</v>
      </c>
      <c r="J583" s="42">
        <f t="shared" si="354"/>
        <v>13291.759800000002</v>
      </c>
      <c r="K583" s="42">
        <f t="shared" si="355"/>
        <v>0</v>
      </c>
      <c r="L583" s="42"/>
      <c r="M583" s="42"/>
      <c r="N583" s="42"/>
      <c r="O583" s="42"/>
      <c r="P583" s="42">
        <f t="shared" si="350"/>
        <v>13291.759800000002</v>
      </c>
      <c r="Q583" s="58"/>
      <c r="R583" s="42"/>
      <c r="S583" s="42"/>
      <c r="T583" s="168"/>
    </row>
    <row r="584" spans="1:20" hidden="1" x14ac:dyDescent="0.25">
      <c r="A584" s="61"/>
      <c r="B584" s="51" t="s">
        <v>29</v>
      </c>
      <c r="C584" s="42"/>
      <c r="D584" s="42"/>
      <c r="E584" s="42"/>
      <c r="F584" s="42"/>
      <c r="G584" s="42"/>
      <c r="H584" s="63">
        <v>16409.580000000002</v>
      </c>
      <c r="I584" s="63">
        <v>0.81</v>
      </c>
      <c r="J584" s="42">
        <f t="shared" si="354"/>
        <v>13291.759800000002</v>
      </c>
      <c r="K584" s="42">
        <f t="shared" si="355"/>
        <v>0</v>
      </c>
      <c r="L584" s="42"/>
      <c r="M584" s="42"/>
      <c r="N584" s="42"/>
      <c r="O584" s="42"/>
      <c r="P584" s="42">
        <f t="shared" si="350"/>
        <v>13291.759800000002</v>
      </c>
      <c r="Q584" s="58"/>
      <c r="R584" s="42"/>
      <c r="S584" s="42"/>
      <c r="T584" s="168"/>
    </row>
    <row r="585" spans="1:20" ht="51.75" hidden="1" x14ac:dyDescent="0.25">
      <c r="A585" s="61" t="s">
        <v>62</v>
      </c>
      <c r="B585" s="51" t="s">
        <v>57</v>
      </c>
      <c r="C585" s="42"/>
      <c r="D585" s="42"/>
      <c r="E585" s="42"/>
      <c r="F585" s="42"/>
      <c r="G585" s="42"/>
      <c r="H585" s="63">
        <v>16409.580000000002</v>
      </c>
      <c r="I585" s="63">
        <v>0.81</v>
      </c>
      <c r="J585" s="42">
        <f t="shared" si="354"/>
        <v>13291.759800000002</v>
      </c>
      <c r="K585" s="42">
        <f t="shared" si="355"/>
        <v>0</v>
      </c>
      <c r="L585" s="42"/>
      <c r="M585" s="42"/>
      <c r="N585" s="42"/>
      <c r="O585" s="42"/>
      <c r="P585" s="42">
        <f t="shared" si="350"/>
        <v>13291.759800000002</v>
      </c>
      <c r="Q585" s="58"/>
      <c r="R585" s="42"/>
      <c r="S585" s="42"/>
      <c r="T585" s="168"/>
    </row>
    <row r="586" spans="1:20" hidden="1" x14ac:dyDescent="0.25">
      <c r="A586" s="61"/>
      <c r="B586" s="51" t="s">
        <v>27</v>
      </c>
      <c r="C586" s="42"/>
      <c r="D586" s="42"/>
      <c r="E586" s="42"/>
      <c r="F586" s="42"/>
      <c r="G586" s="42"/>
      <c r="H586" s="63">
        <v>16409.580000000002</v>
      </c>
      <c r="I586" s="63">
        <v>0.81</v>
      </c>
      <c r="J586" s="42">
        <f t="shared" si="354"/>
        <v>13291.759800000002</v>
      </c>
      <c r="K586" s="42">
        <f t="shared" si="355"/>
        <v>0</v>
      </c>
      <c r="L586" s="42"/>
      <c r="M586" s="42"/>
      <c r="N586" s="42"/>
      <c r="O586" s="42"/>
      <c r="P586" s="42">
        <f t="shared" si="350"/>
        <v>13291.759800000002</v>
      </c>
      <c r="Q586" s="58"/>
      <c r="R586" s="42"/>
      <c r="S586" s="42"/>
      <c r="T586" s="168"/>
    </row>
    <row r="587" spans="1:20" hidden="1" x14ac:dyDescent="0.25">
      <c r="A587" s="61"/>
      <c r="B587" s="51" t="s">
        <v>28</v>
      </c>
      <c r="C587" s="42"/>
      <c r="D587" s="42"/>
      <c r="E587" s="42"/>
      <c r="F587" s="42"/>
      <c r="G587" s="42"/>
      <c r="H587" s="63">
        <v>16409.580000000002</v>
      </c>
      <c r="I587" s="63">
        <v>0.81</v>
      </c>
      <c r="J587" s="42">
        <f t="shared" si="354"/>
        <v>13291.759800000002</v>
      </c>
      <c r="K587" s="42">
        <f t="shared" si="355"/>
        <v>0</v>
      </c>
      <c r="L587" s="42"/>
      <c r="M587" s="42"/>
      <c r="N587" s="42"/>
      <c r="O587" s="42"/>
      <c r="P587" s="42">
        <f t="shared" si="350"/>
        <v>13291.759800000002</v>
      </c>
      <c r="Q587" s="58"/>
      <c r="R587" s="42"/>
      <c r="S587" s="42"/>
      <c r="T587" s="168"/>
    </row>
    <row r="588" spans="1:20" hidden="1" x14ac:dyDescent="0.25">
      <c r="A588" s="61"/>
      <c r="B588" s="51" t="s">
        <v>29</v>
      </c>
      <c r="C588" s="42"/>
      <c r="D588" s="42"/>
      <c r="E588" s="42"/>
      <c r="F588" s="42"/>
      <c r="G588" s="42"/>
      <c r="H588" s="63">
        <v>16409.580000000002</v>
      </c>
      <c r="I588" s="63">
        <v>0.81</v>
      </c>
      <c r="J588" s="42">
        <f t="shared" si="354"/>
        <v>13291.759800000002</v>
      </c>
      <c r="K588" s="42">
        <f t="shared" si="355"/>
        <v>0</v>
      </c>
      <c r="L588" s="42"/>
      <c r="M588" s="42"/>
      <c r="N588" s="42"/>
      <c r="O588" s="42"/>
      <c r="P588" s="42">
        <f t="shared" si="350"/>
        <v>13291.759800000002</v>
      </c>
      <c r="Q588" s="58"/>
      <c r="R588" s="42"/>
      <c r="S588" s="42"/>
      <c r="T588" s="168"/>
    </row>
    <row r="589" spans="1:20" ht="51.75" hidden="1" x14ac:dyDescent="0.25">
      <c r="A589" s="61" t="s">
        <v>63</v>
      </c>
      <c r="B589" s="51" t="s">
        <v>58</v>
      </c>
      <c r="C589" s="42"/>
      <c r="D589" s="42"/>
      <c r="E589" s="42"/>
      <c r="F589" s="42"/>
      <c r="G589" s="42"/>
      <c r="H589" s="63">
        <v>16409.580000000002</v>
      </c>
      <c r="I589" s="63">
        <v>0.81</v>
      </c>
      <c r="J589" s="42">
        <f t="shared" si="354"/>
        <v>13291.759800000002</v>
      </c>
      <c r="K589" s="42">
        <f t="shared" si="355"/>
        <v>0</v>
      </c>
      <c r="L589" s="42"/>
      <c r="M589" s="42"/>
      <c r="N589" s="42"/>
      <c r="O589" s="42"/>
      <c r="P589" s="42">
        <f t="shared" si="350"/>
        <v>13291.759800000002</v>
      </c>
      <c r="Q589" s="58"/>
      <c r="R589" s="42"/>
      <c r="S589" s="42"/>
      <c r="T589" s="168"/>
    </row>
    <row r="590" spans="1:20" hidden="1" x14ac:dyDescent="0.25">
      <c r="A590" s="61"/>
      <c r="B590" s="51" t="s">
        <v>27</v>
      </c>
      <c r="C590" s="42"/>
      <c r="D590" s="42"/>
      <c r="E590" s="42"/>
      <c r="F590" s="42"/>
      <c r="G590" s="42"/>
      <c r="H590" s="63">
        <v>16409.580000000002</v>
      </c>
      <c r="I590" s="63">
        <v>0.81</v>
      </c>
      <c r="J590" s="42">
        <f t="shared" si="354"/>
        <v>13291.759800000002</v>
      </c>
      <c r="K590" s="42">
        <f t="shared" si="355"/>
        <v>0</v>
      </c>
      <c r="L590" s="42"/>
      <c r="M590" s="42"/>
      <c r="N590" s="42"/>
      <c r="O590" s="42"/>
      <c r="P590" s="42">
        <f t="shared" si="350"/>
        <v>13291.759800000002</v>
      </c>
      <c r="Q590" s="58"/>
      <c r="R590" s="42"/>
      <c r="S590" s="42"/>
      <c r="T590" s="168"/>
    </row>
    <row r="591" spans="1:20" hidden="1" x14ac:dyDescent="0.25">
      <c r="A591" s="61"/>
      <c r="B591" s="51" t="s">
        <v>28</v>
      </c>
      <c r="C591" s="42"/>
      <c r="D591" s="42"/>
      <c r="E591" s="42"/>
      <c r="F591" s="42"/>
      <c r="G591" s="42"/>
      <c r="H591" s="63">
        <v>16409.580000000002</v>
      </c>
      <c r="I591" s="63">
        <v>0.81</v>
      </c>
      <c r="J591" s="42">
        <f t="shared" si="354"/>
        <v>13291.759800000002</v>
      </c>
      <c r="K591" s="42">
        <f t="shared" si="355"/>
        <v>0</v>
      </c>
      <c r="L591" s="42"/>
      <c r="M591" s="42"/>
      <c r="N591" s="42"/>
      <c r="O591" s="42"/>
      <c r="P591" s="42">
        <f t="shared" si="350"/>
        <v>13291.759800000002</v>
      </c>
      <c r="Q591" s="58"/>
      <c r="R591" s="42"/>
      <c r="S591" s="42"/>
      <c r="T591" s="168"/>
    </row>
    <row r="592" spans="1:20" hidden="1" x14ac:dyDescent="0.25">
      <c r="A592" s="61"/>
      <c r="B592" s="51" t="s">
        <v>29</v>
      </c>
      <c r="C592" s="42"/>
      <c r="D592" s="42"/>
      <c r="E592" s="42"/>
      <c r="F592" s="42"/>
      <c r="G592" s="42"/>
      <c r="H592" s="63">
        <v>16409.580000000002</v>
      </c>
      <c r="I592" s="63">
        <v>0.81</v>
      </c>
      <c r="J592" s="42">
        <f t="shared" si="354"/>
        <v>13291.759800000002</v>
      </c>
      <c r="K592" s="42">
        <f t="shared" si="355"/>
        <v>0</v>
      </c>
      <c r="L592" s="42"/>
      <c r="M592" s="42"/>
      <c r="N592" s="42"/>
      <c r="O592" s="42"/>
      <c r="P592" s="42">
        <f t="shared" si="350"/>
        <v>13291.759800000002</v>
      </c>
      <c r="Q592" s="58"/>
      <c r="R592" s="42"/>
      <c r="S592" s="42"/>
      <c r="T592" s="168"/>
    </row>
    <row r="593" spans="1:23" ht="39" hidden="1" x14ac:dyDescent="0.25">
      <c r="A593" s="61" t="s">
        <v>64</v>
      </c>
      <c r="B593" s="51" t="s">
        <v>30</v>
      </c>
      <c r="C593" s="42"/>
      <c r="D593" s="42"/>
      <c r="E593" s="42"/>
      <c r="F593" s="42"/>
      <c r="G593" s="42"/>
      <c r="H593" s="63">
        <v>16409.580000000002</v>
      </c>
      <c r="I593" s="63">
        <v>0.81</v>
      </c>
      <c r="J593" s="42">
        <f t="shared" si="354"/>
        <v>13291.759800000002</v>
      </c>
      <c r="K593" s="42">
        <f t="shared" si="355"/>
        <v>0</v>
      </c>
      <c r="L593" s="42"/>
      <c r="M593" s="42"/>
      <c r="N593" s="42"/>
      <c r="O593" s="42"/>
      <c r="P593" s="42">
        <f t="shared" si="350"/>
        <v>13291.759800000002</v>
      </c>
      <c r="Q593" s="58"/>
      <c r="R593" s="42"/>
      <c r="S593" s="42"/>
      <c r="T593" s="168"/>
    </row>
    <row r="594" spans="1:23" hidden="1" x14ac:dyDescent="0.25">
      <c r="A594" s="61"/>
      <c r="B594" s="51" t="s">
        <v>27</v>
      </c>
      <c r="C594" s="42"/>
      <c r="D594" s="42"/>
      <c r="E594" s="42"/>
      <c r="F594" s="42"/>
      <c r="G594" s="42"/>
      <c r="H594" s="63">
        <v>16409.580000000002</v>
      </c>
      <c r="I594" s="63">
        <v>0.81</v>
      </c>
      <c r="J594" s="42">
        <f t="shared" si="354"/>
        <v>13291.759800000002</v>
      </c>
      <c r="K594" s="42">
        <f t="shared" si="355"/>
        <v>0</v>
      </c>
      <c r="L594" s="42"/>
      <c r="M594" s="42"/>
      <c r="N594" s="42"/>
      <c r="O594" s="42"/>
      <c r="P594" s="42">
        <f t="shared" si="350"/>
        <v>13291.759800000002</v>
      </c>
      <c r="Q594" s="58"/>
      <c r="R594" s="42"/>
      <c r="S594" s="42"/>
      <c r="T594" s="168"/>
    </row>
    <row r="595" spans="1:23" hidden="1" x14ac:dyDescent="0.25">
      <c r="A595" s="61"/>
      <c r="B595" s="51" t="s">
        <v>28</v>
      </c>
      <c r="C595" s="42"/>
      <c r="D595" s="42"/>
      <c r="E595" s="42"/>
      <c r="F595" s="42"/>
      <c r="G595" s="42"/>
      <c r="H595" s="63">
        <v>16409.580000000002</v>
      </c>
      <c r="I595" s="63">
        <v>0.81</v>
      </c>
      <c r="J595" s="42">
        <f t="shared" si="354"/>
        <v>13291.759800000002</v>
      </c>
      <c r="K595" s="42">
        <f t="shared" si="355"/>
        <v>0</v>
      </c>
      <c r="L595" s="42"/>
      <c r="M595" s="42"/>
      <c r="N595" s="42"/>
      <c r="O595" s="42"/>
      <c r="P595" s="42">
        <f t="shared" si="350"/>
        <v>13291.759800000002</v>
      </c>
      <c r="Q595" s="58"/>
      <c r="R595" s="42"/>
      <c r="S595" s="42"/>
      <c r="T595" s="168"/>
    </row>
    <row r="596" spans="1:23" hidden="1" x14ac:dyDescent="0.25">
      <c r="A596" s="61"/>
      <c r="B596" s="51" t="s">
        <v>29</v>
      </c>
      <c r="C596" s="42"/>
      <c r="D596" s="42"/>
      <c r="E596" s="42"/>
      <c r="F596" s="42"/>
      <c r="G596" s="42"/>
      <c r="H596" s="63">
        <v>16409.580000000002</v>
      </c>
      <c r="I596" s="63">
        <v>0.81</v>
      </c>
      <c r="J596" s="42">
        <f t="shared" si="354"/>
        <v>13291.759800000002</v>
      </c>
      <c r="K596" s="42">
        <f t="shared" si="355"/>
        <v>0</v>
      </c>
      <c r="L596" s="42"/>
      <c r="M596" s="42"/>
      <c r="N596" s="42"/>
      <c r="O596" s="42"/>
      <c r="P596" s="42">
        <f t="shared" si="350"/>
        <v>13291.759800000002</v>
      </c>
      <c r="Q596" s="58"/>
      <c r="R596" s="42"/>
      <c r="S596" s="42"/>
      <c r="T596" s="168"/>
    </row>
    <row r="597" spans="1:23" ht="39" hidden="1" x14ac:dyDescent="0.25">
      <c r="A597" s="61"/>
      <c r="B597" s="51" t="s">
        <v>9</v>
      </c>
      <c r="C597" s="42"/>
      <c r="D597" s="42"/>
      <c r="E597" s="42"/>
      <c r="F597" s="42"/>
      <c r="G597" s="42"/>
      <c r="H597" s="63">
        <v>16409.580000000002</v>
      </c>
      <c r="I597" s="63">
        <v>0.81</v>
      </c>
      <c r="J597" s="42">
        <f t="shared" si="354"/>
        <v>13291.759800000002</v>
      </c>
      <c r="K597" s="42">
        <f t="shared" si="355"/>
        <v>0</v>
      </c>
      <c r="L597" s="42"/>
      <c r="M597" s="42"/>
      <c r="N597" s="42"/>
      <c r="O597" s="42"/>
      <c r="P597" s="42">
        <f t="shared" si="350"/>
        <v>13291.759800000002</v>
      </c>
      <c r="Q597" s="58"/>
      <c r="R597" s="42"/>
      <c r="S597" s="42"/>
      <c r="T597" s="168"/>
    </row>
    <row r="598" spans="1:23" ht="39" hidden="1" x14ac:dyDescent="0.25">
      <c r="A598" s="61"/>
      <c r="B598" s="51" t="s">
        <v>11</v>
      </c>
      <c r="C598" s="42"/>
      <c r="D598" s="42"/>
      <c r="E598" s="42"/>
      <c r="F598" s="42"/>
      <c r="G598" s="42"/>
      <c r="H598" s="63">
        <v>16409.580000000002</v>
      </c>
      <c r="I598" s="63">
        <v>0.81</v>
      </c>
      <c r="J598" s="42">
        <f t="shared" si="354"/>
        <v>13291.759800000002</v>
      </c>
      <c r="K598" s="42">
        <f t="shared" si="355"/>
        <v>0</v>
      </c>
      <c r="L598" s="42"/>
      <c r="M598" s="42"/>
      <c r="N598" s="42"/>
      <c r="O598" s="42"/>
      <c r="P598" s="42">
        <f t="shared" si="350"/>
        <v>13291.759800000002</v>
      </c>
      <c r="Q598" s="58"/>
      <c r="R598" s="42"/>
      <c r="S598" s="42"/>
      <c r="T598" s="168"/>
    </row>
    <row r="599" spans="1:23" hidden="1" x14ac:dyDescent="0.25">
      <c r="A599" s="61"/>
      <c r="B599" s="51" t="s">
        <v>13</v>
      </c>
      <c r="C599" s="42"/>
      <c r="D599" s="42"/>
      <c r="E599" s="42"/>
      <c r="F599" s="42"/>
      <c r="G599" s="42"/>
      <c r="H599" s="63">
        <v>16409.580000000002</v>
      </c>
      <c r="I599" s="63">
        <v>0.81</v>
      </c>
      <c r="J599" s="42">
        <f t="shared" si="354"/>
        <v>13291.759800000002</v>
      </c>
      <c r="K599" s="42">
        <f t="shared" si="355"/>
        <v>0</v>
      </c>
      <c r="L599" s="42"/>
      <c r="M599" s="42"/>
      <c r="N599" s="42"/>
      <c r="O599" s="42"/>
      <c r="P599" s="42">
        <f t="shared" si="350"/>
        <v>13291.759800000002</v>
      </c>
      <c r="Q599" s="58"/>
      <c r="R599" s="42"/>
      <c r="S599" s="42"/>
      <c r="T599" s="168"/>
    </row>
    <row r="600" spans="1:23" hidden="1" x14ac:dyDescent="0.25">
      <c r="A600" s="61"/>
      <c r="B600" s="61" t="s">
        <v>14</v>
      </c>
      <c r="C600" s="42"/>
      <c r="D600" s="42"/>
      <c r="E600" s="42"/>
      <c r="F600" s="42"/>
      <c r="G600" s="42"/>
      <c r="H600" s="63">
        <v>16409.580000000002</v>
      </c>
      <c r="I600" s="63">
        <v>0.81</v>
      </c>
      <c r="J600" s="42">
        <f t="shared" si="354"/>
        <v>13291.759800000002</v>
      </c>
      <c r="K600" s="42">
        <f t="shared" si="355"/>
        <v>0</v>
      </c>
      <c r="L600" s="42"/>
      <c r="M600" s="42"/>
      <c r="N600" s="42"/>
      <c r="O600" s="42"/>
      <c r="P600" s="42">
        <f t="shared" si="350"/>
        <v>13291.759800000002</v>
      </c>
      <c r="Q600" s="58"/>
      <c r="R600" s="42"/>
      <c r="S600" s="42"/>
      <c r="T600" s="168"/>
    </row>
    <row r="601" spans="1:23" hidden="1" x14ac:dyDescent="0.25">
      <c r="A601" s="61"/>
      <c r="B601" s="61" t="s">
        <v>17</v>
      </c>
      <c r="C601" s="42"/>
      <c r="D601" s="42"/>
      <c r="E601" s="42"/>
      <c r="F601" s="42"/>
      <c r="G601" s="42"/>
      <c r="H601" s="63">
        <v>16409.580000000002</v>
      </c>
      <c r="I601" s="63">
        <v>0.81</v>
      </c>
      <c r="J601" s="42">
        <f t="shared" si="354"/>
        <v>13291.759800000002</v>
      </c>
      <c r="K601" s="42">
        <f t="shared" si="355"/>
        <v>0</v>
      </c>
      <c r="L601" s="42"/>
      <c r="M601" s="42"/>
      <c r="N601" s="42"/>
      <c r="O601" s="42"/>
      <c r="P601" s="42">
        <f t="shared" si="350"/>
        <v>13291.759800000002</v>
      </c>
      <c r="Q601" s="58"/>
      <c r="R601" s="42"/>
      <c r="S601" s="42"/>
      <c r="T601" s="168"/>
    </row>
    <row r="602" spans="1:23" hidden="1" x14ac:dyDescent="0.25">
      <c r="A602" s="61"/>
      <c r="B602" s="61" t="s">
        <v>14</v>
      </c>
      <c r="C602" s="42"/>
      <c r="D602" s="42"/>
      <c r="E602" s="42"/>
      <c r="F602" s="42"/>
      <c r="G602" s="42"/>
      <c r="H602" s="63">
        <v>16409.580000000002</v>
      </c>
      <c r="I602" s="63">
        <v>0.81</v>
      </c>
      <c r="J602" s="42">
        <f t="shared" si="354"/>
        <v>13291.759800000002</v>
      </c>
      <c r="K602" s="42">
        <f t="shared" si="355"/>
        <v>0</v>
      </c>
      <c r="L602" s="42"/>
      <c r="M602" s="42"/>
      <c r="N602" s="42"/>
      <c r="O602" s="42"/>
      <c r="P602" s="42">
        <f t="shared" si="350"/>
        <v>13291.759800000002</v>
      </c>
      <c r="Q602" s="58"/>
      <c r="R602" s="42"/>
      <c r="S602" s="42"/>
      <c r="T602" s="168"/>
    </row>
    <row r="603" spans="1:23" x14ac:dyDescent="0.25">
      <c r="A603" s="65"/>
      <c r="B603" s="51" t="s">
        <v>13</v>
      </c>
      <c r="C603" s="42">
        <v>128</v>
      </c>
      <c r="D603" s="42"/>
      <c r="E603" s="42"/>
      <c r="F603" s="42"/>
      <c r="G603" s="42"/>
      <c r="H603" s="42"/>
      <c r="I603" s="42"/>
      <c r="J603" s="42"/>
      <c r="K603" s="42"/>
      <c r="L603" s="63">
        <v>4769.12</v>
      </c>
      <c r="M603" s="63">
        <v>1.47</v>
      </c>
      <c r="N603" s="42">
        <f t="shared" ref="N603" si="356">L603*M603</f>
        <v>7010.6063999999997</v>
      </c>
      <c r="O603" s="42">
        <f t="shared" ref="O603" si="357">ROUND(C603*N603,0)</f>
        <v>897358</v>
      </c>
      <c r="P603" s="42">
        <f t="shared" ref="P603" si="358">D603+F603+J603+N603</f>
        <v>7010.6063999999997</v>
      </c>
      <c r="Q603" s="58"/>
      <c r="R603" s="42">
        <f t="shared" ref="R603" si="359">E603+G603+K603+O603</f>
        <v>897358</v>
      </c>
      <c r="S603" s="42"/>
      <c r="T603" s="168"/>
    </row>
    <row r="604" spans="1:23" s="60" customFormat="1" hidden="1" x14ac:dyDescent="0.25">
      <c r="A604" s="56"/>
      <c r="B604" s="51" t="s">
        <v>27</v>
      </c>
      <c r="C604" s="58"/>
      <c r="D604" s="58"/>
      <c r="E604" s="58"/>
      <c r="F604" s="42"/>
      <c r="G604" s="58"/>
      <c r="H604" s="58"/>
      <c r="I604" s="58"/>
      <c r="J604" s="58"/>
      <c r="K604" s="42"/>
      <c r="L604" s="58"/>
      <c r="M604" s="42"/>
      <c r="N604" s="58"/>
      <c r="O604" s="42"/>
      <c r="P604" s="42"/>
      <c r="Q604" s="58"/>
      <c r="R604" s="42"/>
      <c r="S604" s="58"/>
      <c r="T604" s="168"/>
      <c r="U604" s="68"/>
      <c r="V604" s="66"/>
      <c r="W604" s="66"/>
    </row>
    <row r="605" spans="1:23" hidden="1" x14ac:dyDescent="0.25">
      <c r="A605" s="61"/>
      <c r="B605" s="51" t="s">
        <v>28</v>
      </c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58"/>
      <c r="R605" s="42"/>
      <c r="S605" s="42"/>
      <c r="T605" s="168"/>
    </row>
    <row r="606" spans="1:23" hidden="1" x14ac:dyDescent="0.25">
      <c r="A606" s="61"/>
      <c r="B606" s="51" t="s">
        <v>29</v>
      </c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58"/>
      <c r="R606" s="42"/>
      <c r="S606" s="42"/>
      <c r="T606" s="168"/>
    </row>
    <row r="607" spans="1:23" x14ac:dyDescent="0.25">
      <c r="A607" s="85"/>
      <c r="B607" s="86" t="s">
        <v>321</v>
      </c>
      <c r="C607" s="75">
        <f>C570+C571+C572</f>
        <v>128</v>
      </c>
      <c r="D607" s="75"/>
      <c r="E607" s="75">
        <f>E570+E571+E572+E603</f>
        <v>6176000</v>
      </c>
      <c r="F607" s="75"/>
      <c r="G607" s="75">
        <f>G570+G571+G572+G603</f>
        <v>2164000</v>
      </c>
      <c r="H607" s="75"/>
      <c r="I607" s="75"/>
      <c r="J607" s="75"/>
      <c r="K607" s="75">
        <f>K570+K571+K572+K603</f>
        <v>2144642</v>
      </c>
      <c r="L607" s="75"/>
      <c r="M607" s="75"/>
      <c r="N607" s="75"/>
      <c r="O607" s="75">
        <f>O570+O571+O572+O603</f>
        <v>897358</v>
      </c>
      <c r="P607" s="75"/>
      <c r="Q607" s="75"/>
      <c r="R607" s="75">
        <f>R570+R571+R572+R603</f>
        <v>11382000</v>
      </c>
      <c r="S607" s="75">
        <v>39000</v>
      </c>
      <c r="T607" s="170">
        <f>R607+S607</f>
        <v>11421000</v>
      </c>
      <c r="U607" s="180"/>
      <c r="V607" s="180"/>
    </row>
    <row r="608" spans="1:23" s="60" customFormat="1" x14ac:dyDescent="0.25">
      <c r="A608" s="56">
        <v>21</v>
      </c>
      <c r="B608" s="8" t="s">
        <v>76</v>
      </c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42"/>
      <c r="Q608" s="58"/>
      <c r="R608" s="58"/>
      <c r="S608" s="58"/>
      <c r="T608" s="168"/>
      <c r="U608" s="68"/>
      <c r="V608" s="66"/>
      <c r="W608" s="66"/>
    </row>
    <row r="609" spans="1:20" ht="39" x14ac:dyDescent="0.25">
      <c r="A609" s="61" t="s">
        <v>241</v>
      </c>
      <c r="B609" s="51" t="s">
        <v>54</v>
      </c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58"/>
      <c r="R609" s="42"/>
      <c r="S609" s="42"/>
      <c r="T609" s="168"/>
    </row>
    <row r="610" spans="1:20" x14ac:dyDescent="0.25">
      <c r="A610" s="61"/>
      <c r="B610" s="51" t="s">
        <v>287</v>
      </c>
      <c r="C610" s="42">
        <v>3</v>
      </c>
      <c r="D610" s="42">
        <v>74111</v>
      </c>
      <c r="E610" s="42">
        <f>C610*D610+16549</f>
        <v>238882</v>
      </c>
      <c r="F610" s="42">
        <f t="shared" ref="F610:F612" si="360">ROUND(D610*35.4%,0)</f>
        <v>26235</v>
      </c>
      <c r="G610" s="42">
        <f>C610*F610-3262</f>
        <v>75443</v>
      </c>
      <c r="H610" s="63">
        <v>17881.599999999999</v>
      </c>
      <c r="I610" s="63">
        <v>1.65</v>
      </c>
      <c r="J610" s="42">
        <f t="shared" ref="J610" si="361">H610*I610</f>
        <v>29504.639999999996</v>
      </c>
      <c r="K610" s="42">
        <f>ROUND(C610*J610,0)+346</f>
        <v>88860</v>
      </c>
      <c r="L610" s="42"/>
      <c r="M610" s="42"/>
      <c r="N610" s="42"/>
      <c r="O610" s="42"/>
      <c r="P610" s="42">
        <f t="shared" ref="P610:P612" si="362">D610+F610+J610+N610</f>
        <v>129850.64</v>
      </c>
      <c r="Q610" s="58"/>
      <c r="R610" s="42">
        <f t="shared" ref="R610:R612" si="363">E610+G610+K610+O610</f>
        <v>403185</v>
      </c>
      <c r="S610" s="42"/>
      <c r="T610" s="168"/>
    </row>
    <row r="611" spans="1:20" x14ac:dyDescent="0.25">
      <c r="A611" s="61"/>
      <c r="B611" s="51" t="s">
        <v>28</v>
      </c>
      <c r="C611" s="42">
        <v>20</v>
      </c>
      <c r="D611" s="42">
        <v>44466</v>
      </c>
      <c r="E611" s="42">
        <f t="shared" ref="E611:E612" si="364">C611*D611</f>
        <v>889320</v>
      </c>
      <c r="F611" s="42">
        <f t="shared" si="360"/>
        <v>15741</v>
      </c>
      <c r="G611" s="42">
        <f t="shared" ref="G611:G632" si="365">C611*F611</f>
        <v>314820</v>
      </c>
      <c r="H611" s="63">
        <v>17881.599999999999</v>
      </c>
      <c r="I611" s="63">
        <v>1.65</v>
      </c>
      <c r="J611" s="42">
        <f t="shared" ref="J611:J612" si="366">H611*I611</f>
        <v>29504.639999999996</v>
      </c>
      <c r="K611" s="42">
        <f t="shared" ref="K611:K612" si="367">ROUND(C611*J611,0)</f>
        <v>590093</v>
      </c>
      <c r="L611" s="42"/>
      <c r="M611" s="42"/>
      <c r="N611" s="42"/>
      <c r="O611" s="42"/>
      <c r="P611" s="42">
        <f t="shared" si="362"/>
        <v>89711.64</v>
      </c>
      <c r="Q611" s="58"/>
      <c r="R611" s="42">
        <f t="shared" si="363"/>
        <v>1794233</v>
      </c>
      <c r="S611" s="42"/>
      <c r="T611" s="168"/>
    </row>
    <row r="612" spans="1:20" x14ac:dyDescent="0.25">
      <c r="A612" s="61"/>
      <c r="B612" s="51" t="s">
        <v>289</v>
      </c>
      <c r="C612" s="42">
        <v>15</v>
      </c>
      <c r="D612" s="42">
        <v>44466</v>
      </c>
      <c r="E612" s="42">
        <f t="shared" si="364"/>
        <v>666990</v>
      </c>
      <c r="F612" s="42">
        <f t="shared" si="360"/>
        <v>15741</v>
      </c>
      <c r="G612" s="42">
        <f t="shared" si="365"/>
        <v>236115</v>
      </c>
      <c r="H612" s="63">
        <v>17881.599999999999</v>
      </c>
      <c r="I612" s="63">
        <v>1.65</v>
      </c>
      <c r="J612" s="42">
        <f t="shared" si="366"/>
        <v>29504.639999999996</v>
      </c>
      <c r="K612" s="42">
        <f t="shared" si="367"/>
        <v>442570</v>
      </c>
      <c r="L612" s="42"/>
      <c r="M612" s="42"/>
      <c r="N612" s="42"/>
      <c r="O612" s="42"/>
      <c r="P612" s="42">
        <f t="shared" si="362"/>
        <v>89711.64</v>
      </c>
      <c r="Q612" s="58"/>
      <c r="R612" s="42">
        <f t="shared" si="363"/>
        <v>1345675</v>
      </c>
      <c r="S612" s="42"/>
      <c r="T612" s="168"/>
    </row>
    <row r="613" spans="1:20" ht="39" hidden="1" x14ac:dyDescent="0.25">
      <c r="A613" s="61" t="s">
        <v>59</v>
      </c>
      <c r="B613" s="51" t="s">
        <v>68</v>
      </c>
      <c r="C613" s="42"/>
      <c r="D613" s="42"/>
      <c r="E613" s="42"/>
      <c r="F613" s="42">
        <f t="shared" ref="F613:F632" si="368">ROUND(D613*39.6%,0)</f>
        <v>0</v>
      </c>
      <c r="G613" s="42">
        <f t="shared" si="365"/>
        <v>0</v>
      </c>
      <c r="H613" s="42"/>
      <c r="I613" s="63">
        <v>1.5609999999999999</v>
      </c>
      <c r="J613" s="42"/>
      <c r="K613" s="42"/>
      <c r="L613" s="42"/>
      <c r="M613" s="42"/>
      <c r="N613" s="42"/>
      <c r="O613" s="42"/>
      <c r="P613" s="42"/>
      <c r="Q613" s="58"/>
      <c r="R613" s="42"/>
      <c r="S613" s="42"/>
      <c r="T613" s="168"/>
    </row>
    <row r="614" spans="1:20" hidden="1" x14ac:dyDescent="0.25">
      <c r="A614" s="61"/>
      <c r="B614" s="51" t="s">
        <v>27</v>
      </c>
      <c r="C614" s="42"/>
      <c r="D614" s="42"/>
      <c r="E614" s="42"/>
      <c r="F614" s="42">
        <f t="shared" si="368"/>
        <v>0</v>
      </c>
      <c r="G614" s="42">
        <f t="shared" si="365"/>
        <v>0</v>
      </c>
      <c r="H614" s="42"/>
      <c r="I614" s="63">
        <v>1.5609999999999999</v>
      </c>
      <c r="J614" s="42"/>
      <c r="K614" s="42"/>
      <c r="L614" s="42"/>
      <c r="M614" s="42"/>
      <c r="N614" s="42"/>
      <c r="O614" s="42"/>
      <c r="P614" s="42"/>
      <c r="Q614" s="58"/>
      <c r="R614" s="42"/>
      <c r="S614" s="42"/>
      <c r="T614" s="168"/>
    </row>
    <row r="615" spans="1:20" hidden="1" x14ac:dyDescent="0.25">
      <c r="A615" s="61"/>
      <c r="B615" s="51" t="s">
        <v>28</v>
      </c>
      <c r="C615" s="42"/>
      <c r="D615" s="42"/>
      <c r="E615" s="42"/>
      <c r="F615" s="42">
        <f t="shared" si="368"/>
        <v>0</v>
      </c>
      <c r="G615" s="42">
        <f t="shared" si="365"/>
        <v>0</v>
      </c>
      <c r="H615" s="42"/>
      <c r="I615" s="63">
        <v>1.5609999999999999</v>
      </c>
      <c r="J615" s="42"/>
      <c r="K615" s="42"/>
      <c r="L615" s="42"/>
      <c r="M615" s="42"/>
      <c r="N615" s="42"/>
      <c r="O615" s="42"/>
      <c r="P615" s="42"/>
      <c r="Q615" s="58"/>
      <c r="R615" s="42"/>
      <c r="S615" s="42"/>
      <c r="T615" s="168"/>
    </row>
    <row r="616" spans="1:20" hidden="1" x14ac:dyDescent="0.25">
      <c r="A616" s="61"/>
      <c r="B616" s="51" t="s">
        <v>29</v>
      </c>
      <c r="C616" s="42"/>
      <c r="D616" s="42"/>
      <c r="E616" s="42"/>
      <c r="F616" s="42">
        <f t="shared" si="368"/>
        <v>0</v>
      </c>
      <c r="G616" s="42">
        <f t="shared" si="365"/>
        <v>0</v>
      </c>
      <c r="H616" s="42"/>
      <c r="I616" s="63">
        <v>1.5609999999999999</v>
      </c>
      <c r="J616" s="42"/>
      <c r="K616" s="42"/>
      <c r="L616" s="42"/>
      <c r="M616" s="42"/>
      <c r="N616" s="42"/>
      <c r="O616" s="42"/>
      <c r="P616" s="42"/>
      <c r="Q616" s="58"/>
      <c r="R616" s="42"/>
      <c r="S616" s="42"/>
      <c r="T616" s="168"/>
    </row>
    <row r="617" spans="1:20" ht="39" hidden="1" x14ac:dyDescent="0.25">
      <c r="A617" s="61" t="s">
        <v>60</v>
      </c>
      <c r="B617" s="51" t="s">
        <v>55</v>
      </c>
      <c r="C617" s="42"/>
      <c r="D617" s="42"/>
      <c r="E617" s="42"/>
      <c r="F617" s="42">
        <f t="shared" si="368"/>
        <v>0</v>
      </c>
      <c r="G617" s="42">
        <f t="shared" si="365"/>
        <v>0</v>
      </c>
      <c r="H617" s="42"/>
      <c r="I617" s="63">
        <v>1.5609999999999999</v>
      </c>
      <c r="J617" s="42"/>
      <c r="K617" s="42"/>
      <c r="L617" s="42"/>
      <c r="M617" s="42"/>
      <c r="N617" s="42"/>
      <c r="O617" s="42"/>
      <c r="P617" s="42"/>
      <c r="Q617" s="58"/>
      <c r="R617" s="42"/>
      <c r="S617" s="42"/>
      <c r="T617" s="168"/>
    </row>
    <row r="618" spans="1:20" hidden="1" x14ac:dyDescent="0.25">
      <c r="A618" s="61"/>
      <c r="B618" s="51" t="s">
        <v>27</v>
      </c>
      <c r="C618" s="42"/>
      <c r="D618" s="42"/>
      <c r="E618" s="42"/>
      <c r="F618" s="42">
        <f t="shared" si="368"/>
        <v>0</v>
      </c>
      <c r="G618" s="42">
        <f t="shared" si="365"/>
        <v>0</v>
      </c>
      <c r="H618" s="42"/>
      <c r="I618" s="63">
        <v>1.5609999999999999</v>
      </c>
      <c r="J618" s="42"/>
      <c r="K618" s="42"/>
      <c r="L618" s="42"/>
      <c r="M618" s="42"/>
      <c r="N618" s="42"/>
      <c r="O618" s="42"/>
      <c r="P618" s="42"/>
      <c r="Q618" s="58"/>
      <c r="R618" s="42"/>
      <c r="S618" s="42"/>
      <c r="T618" s="168"/>
    </row>
    <row r="619" spans="1:20" hidden="1" x14ac:dyDescent="0.25">
      <c r="A619" s="61"/>
      <c r="B619" s="51" t="s">
        <v>28</v>
      </c>
      <c r="C619" s="42"/>
      <c r="D619" s="42"/>
      <c r="E619" s="42"/>
      <c r="F619" s="42">
        <f t="shared" si="368"/>
        <v>0</v>
      </c>
      <c r="G619" s="42">
        <f t="shared" si="365"/>
        <v>0</v>
      </c>
      <c r="H619" s="42"/>
      <c r="I619" s="63">
        <v>1.5609999999999999</v>
      </c>
      <c r="J619" s="42"/>
      <c r="K619" s="42"/>
      <c r="L619" s="42"/>
      <c r="M619" s="42"/>
      <c r="N619" s="42"/>
      <c r="O619" s="42"/>
      <c r="P619" s="42"/>
      <c r="Q619" s="58"/>
      <c r="R619" s="42"/>
      <c r="S619" s="42"/>
      <c r="T619" s="168"/>
    </row>
    <row r="620" spans="1:20" hidden="1" x14ac:dyDescent="0.25">
      <c r="A620" s="61"/>
      <c r="B620" s="51" t="s">
        <v>29</v>
      </c>
      <c r="C620" s="42"/>
      <c r="D620" s="42"/>
      <c r="E620" s="42"/>
      <c r="F620" s="42">
        <f t="shared" si="368"/>
        <v>0</v>
      </c>
      <c r="G620" s="42">
        <f t="shared" si="365"/>
        <v>0</v>
      </c>
      <c r="H620" s="42"/>
      <c r="I620" s="63">
        <v>1.5609999999999999</v>
      </c>
      <c r="J620" s="42"/>
      <c r="K620" s="42"/>
      <c r="L620" s="42"/>
      <c r="M620" s="42"/>
      <c r="N620" s="42"/>
      <c r="O620" s="42"/>
      <c r="P620" s="42"/>
      <c r="Q620" s="58"/>
      <c r="R620" s="42"/>
      <c r="S620" s="42"/>
      <c r="T620" s="168"/>
    </row>
    <row r="621" spans="1:20" ht="39" hidden="1" x14ac:dyDescent="0.25">
      <c r="A621" s="61" t="s">
        <v>61</v>
      </c>
      <c r="B621" s="51" t="s">
        <v>56</v>
      </c>
      <c r="C621" s="42"/>
      <c r="D621" s="42"/>
      <c r="E621" s="42"/>
      <c r="F621" s="42">
        <f t="shared" si="368"/>
        <v>0</v>
      </c>
      <c r="G621" s="42">
        <f t="shared" si="365"/>
        <v>0</v>
      </c>
      <c r="H621" s="42"/>
      <c r="I621" s="63">
        <v>1.5609999999999999</v>
      </c>
      <c r="J621" s="42"/>
      <c r="K621" s="42"/>
      <c r="L621" s="42"/>
      <c r="M621" s="42"/>
      <c r="N621" s="42"/>
      <c r="O621" s="42"/>
      <c r="P621" s="42"/>
      <c r="Q621" s="58"/>
      <c r="R621" s="42"/>
      <c r="S621" s="42"/>
      <c r="T621" s="168"/>
    </row>
    <row r="622" spans="1:20" hidden="1" x14ac:dyDescent="0.25">
      <c r="A622" s="61"/>
      <c r="B622" s="51" t="s">
        <v>27</v>
      </c>
      <c r="C622" s="42"/>
      <c r="D622" s="42"/>
      <c r="E622" s="42"/>
      <c r="F622" s="42">
        <f t="shared" si="368"/>
        <v>0</v>
      </c>
      <c r="G622" s="42">
        <f t="shared" si="365"/>
        <v>0</v>
      </c>
      <c r="H622" s="42"/>
      <c r="I622" s="63">
        <v>1.5609999999999999</v>
      </c>
      <c r="J622" s="42"/>
      <c r="K622" s="42"/>
      <c r="L622" s="42"/>
      <c r="M622" s="42"/>
      <c r="N622" s="42"/>
      <c r="O622" s="42"/>
      <c r="P622" s="42"/>
      <c r="Q622" s="58"/>
      <c r="R622" s="42"/>
      <c r="S622" s="42"/>
      <c r="T622" s="168"/>
    </row>
    <row r="623" spans="1:20" hidden="1" x14ac:dyDescent="0.25">
      <c r="A623" s="61"/>
      <c r="B623" s="51" t="s">
        <v>28</v>
      </c>
      <c r="C623" s="42"/>
      <c r="D623" s="42"/>
      <c r="E623" s="42"/>
      <c r="F623" s="42">
        <f t="shared" si="368"/>
        <v>0</v>
      </c>
      <c r="G623" s="42">
        <f t="shared" si="365"/>
        <v>0</v>
      </c>
      <c r="H623" s="42"/>
      <c r="I623" s="63">
        <v>1.5609999999999999</v>
      </c>
      <c r="J623" s="42"/>
      <c r="K623" s="42"/>
      <c r="L623" s="42"/>
      <c r="M623" s="42"/>
      <c r="N623" s="42"/>
      <c r="O623" s="42"/>
      <c r="P623" s="42"/>
      <c r="Q623" s="58"/>
      <c r="R623" s="42"/>
      <c r="S623" s="42"/>
      <c r="T623" s="168"/>
    </row>
    <row r="624" spans="1:20" hidden="1" x14ac:dyDescent="0.25">
      <c r="A624" s="61"/>
      <c r="B624" s="51" t="s">
        <v>29</v>
      </c>
      <c r="C624" s="42"/>
      <c r="D624" s="42"/>
      <c r="E624" s="42"/>
      <c r="F624" s="42">
        <f t="shared" si="368"/>
        <v>0</v>
      </c>
      <c r="G624" s="42">
        <f t="shared" si="365"/>
        <v>0</v>
      </c>
      <c r="H624" s="42"/>
      <c r="I624" s="63">
        <v>1.5609999999999999</v>
      </c>
      <c r="J624" s="42"/>
      <c r="K624" s="42"/>
      <c r="L624" s="42"/>
      <c r="M624" s="42"/>
      <c r="N624" s="42"/>
      <c r="O624" s="42"/>
      <c r="P624" s="42"/>
      <c r="Q624" s="58"/>
      <c r="R624" s="42"/>
      <c r="S624" s="42"/>
      <c r="T624" s="168"/>
    </row>
    <row r="625" spans="1:20" ht="51.75" hidden="1" x14ac:dyDescent="0.25">
      <c r="A625" s="61" t="s">
        <v>62</v>
      </c>
      <c r="B625" s="51" t="s">
        <v>57</v>
      </c>
      <c r="C625" s="42"/>
      <c r="D625" s="42"/>
      <c r="E625" s="42"/>
      <c r="F625" s="42">
        <f t="shared" si="368"/>
        <v>0</v>
      </c>
      <c r="G625" s="42">
        <f t="shared" si="365"/>
        <v>0</v>
      </c>
      <c r="H625" s="42"/>
      <c r="I625" s="63">
        <v>1.5609999999999999</v>
      </c>
      <c r="J625" s="42"/>
      <c r="K625" s="42"/>
      <c r="L625" s="42"/>
      <c r="M625" s="42"/>
      <c r="N625" s="42"/>
      <c r="O625" s="42"/>
      <c r="P625" s="42"/>
      <c r="Q625" s="58"/>
      <c r="R625" s="42"/>
      <c r="S625" s="42"/>
      <c r="T625" s="168"/>
    </row>
    <row r="626" spans="1:20" hidden="1" x14ac:dyDescent="0.25">
      <c r="A626" s="61"/>
      <c r="B626" s="51" t="s">
        <v>27</v>
      </c>
      <c r="C626" s="42"/>
      <c r="D626" s="42"/>
      <c r="E626" s="42"/>
      <c r="F626" s="42">
        <f t="shared" si="368"/>
        <v>0</v>
      </c>
      <c r="G626" s="42">
        <f t="shared" si="365"/>
        <v>0</v>
      </c>
      <c r="H626" s="42"/>
      <c r="I626" s="63">
        <v>1.5609999999999999</v>
      </c>
      <c r="J626" s="42"/>
      <c r="K626" s="42"/>
      <c r="L626" s="42"/>
      <c r="M626" s="42"/>
      <c r="N626" s="42"/>
      <c r="O626" s="42"/>
      <c r="P626" s="42"/>
      <c r="Q626" s="58"/>
      <c r="R626" s="42"/>
      <c r="S626" s="42"/>
      <c r="T626" s="168"/>
    </row>
    <row r="627" spans="1:20" hidden="1" x14ac:dyDescent="0.25">
      <c r="A627" s="61"/>
      <c r="B627" s="51" t="s">
        <v>28</v>
      </c>
      <c r="C627" s="42"/>
      <c r="D627" s="42"/>
      <c r="E627" s="42"/>
      <c r="F627" s="42">
        <f t="shared" si="368"/>
        <v>0</v>
      </c>
      <c r="G627" s="42">
        <f t="shared" si="365"/>
        <v>0</v>
      </c>
      <c r="H627" s="42"/>
      <c r="I627" s="63">
        <v>1.5609999999999999</v>
      </c>
      <c r="J627" s="42"/>
      <c r="K627" s="42"/>
      <c r="L627" s="42"/>
      <c r="M627" s="42"/>
      <c r="N627" s="42"/>
      <c r="O627" s="42"/>
      <c r="P627" s="42"/>
      <c r="Q627" s="58"/>
      <c r="R627" s="42"/>
      <c r="S627" s="42"/>
      <c r="T627" s="168"/>
    </row>
    <row r="628" spans="1:20" hidden="1" x14ac:dyDescent="0.25">
      <c r="A628" s="61"/>
      <c r="B628" s="51" t="s">
        <v>29</v>
      </c>
      <c r="C628" s="42"/>
      <c r="D628" s="42"/>
      <c r="E628" s="42"/>
      <c r="F628" s="42">
        <f t="shared" si="368"/>
        <v>0</v>
      </c>
      <c r="G628" s="42">
        <f t="shared" si="365"/>
        <v>0</v>
      </c>
      <c r="H628" s="42"/>
      <c r="I628" s="63">
        <v>1.5609999999999999</v>
      </c>
      <c r="J628" s="42"/>
      <c r="K628" s="42"/>
      <c r="L628" s="42"/>
      <c r="M628" s="42"/>
      <c r="N628" s="42"/>
      <c r="O628" s="42"/>
      <c r="P628" s="42"/>
      <c r="Q628" s="58"/>
      <c r="R628" s="42"/>
      <c r="S628" s="42"/>
      <c r="T628" s="168"/>
    </row>
    <row r="629" spans="1:20" ht="51.75" hidden="1" x14ac:dyDescent="0.25">
      <c r="A629" s="61" t="s">
        <v>63</v>
      </c>
      <c r="B629" s="51" t="s">
        <v>58</v>
      </c>
      <c r="C629" s="42"/>
      <c r="D629" s="42"/>
      <c r="E629" s="42"/>
      <c r="F629" s="42">
        <f t="shared" si="368"/>
        <v>0</v>
      </c>
      <c r="G629" s="42">
        <f t="shared" si="365"/>
        <v>0</v>
      </c>
      <c r="H629" s="42"/>
      <c r="I629" s="63">
        <v>1.5609999999999999</v>
      </c>
      <c r="J629" s="42"/>
      <c r="K629" s="42"/>
      <c r="L629" s="42"/>
      <c r="M629" s="42"/>
      <c r="N629" s="42"/>
      <c r="O629" s="42"/>
      <c r="P629" s="42"/>
      <c r="Q629" s="58"/>
      <c r="R629" s="42"/>
      <c r="S629" s="42"/>
      <c r="T629" s="168"/>
    </row>
    <row r="630" spans="1:20" hidden="1" x14ac:dyDescent="0.25">
      <c r="A630" s="61"/>
      <c r="B630" s="51" t="s">
        <v>27</v>
      </c>
      <c r="C630" s="42"/>
      <c r="D630" s="42"/>
      <c r="E630" s="42"/>
      <c r="F630" s="42">
        <f t="shared" si="368"/>
        <v>0</v>
      </c>
      <c r="G630" s="42">
        <f t="shared" si="365"/>
        <v>0</v>
      </c>
      <c r="H630" s="42"/>
      <c r="I630" s="63">
        <v>1.5609999999999999</v>
      </c>
      <c r="J630" s="42"/>
      <c r="K630" s="42"/>
      <c r="L630" s="42"/>
      <c r="M630" s="42"/>
      <c r="N630" s="42"/>
      <c r="O630" s="42"/>
      <c r="P630" s="42"/>
      <c r="Q630" s="58"/>
      <c r="R630" s="42"/>
      <c r="S630" s="42"/>
      <c r="T630" s="168"/>
    </row>
    <row r="631" spans="1:20" hidden="1" x14ac:dyDescent="0.25">
      <c r="A631" s="61"/>
      <c r="B631" s="51" t="s">
        <v>28</v>
      </c>
      <c r="C631" s="42"/>
      <c r="D631" s="42"/>
      <c r="E631" s="42"/>
      <c r="F631" s="42">
        <f t="shared" si="368"/>
        <v>0</v>
      </c>
      <c r="G631" s="42">
        <f t="shared" si="365"/>
        <v>0</v>
      </c>
      <c r="H631" s="42"/>
      <c r="I631" s="63">
        <v>1.5609999999999999</v>
      </c>
      <c r="J631" s="42"/>
      <c r="K631" s="42"/>
      <c r="L631" s="42"/>
      <c r="M631" s="42"/>
      <c r="N631" s="42"/>
      <c r="O631" s="42"/>
      <c r="P631" s="42"/>
      <c r="Q631" s="58"/>
      <c r="R631" s="42"/>
      <c r="S631" s="42"/>
      <c r="T631" s="168"/>
    </row>
    <row r="632" spans="1:20" hidden="1" x14ac:dyDescent="0.25">
      <c r="A632" s="61"/>
      <c r="B632" s="51" t="s">
        <v>29</v>
      </c>
      <c r="C632" s="42"/>
      <c r="D632" s="42"/>
      <c r="E632" s="42"/>
      <c r="F632" s="42">
        <f t="shared" si="368"/>
        <v>0</v>
      </c>
      <c r="G632" s="42">
        <f t="shared" si="365"/>
        <v>0</v>
      </c>
      <c r="H632" s="42"/>
      <c r="I632" s="63">
        <v>1.5609999999999999</v>
      </c>
      <c r="J632" s="42"/>
      <c r="K632" s="42"/>
      <c r="L632" s="42"/>
      <c r="M632" s="42"/>
      <c r="N632" s="42"/>
      <c r="O632" s="42"/>
      <c r="P632" s="42"/>
      <c r="Q632" s="58"/>
      <c r="R632" s="42"/>
      <c r="S632" s="42"/>
      <c r="T632" s="168"/>
    </row>
    <row r="633" spans="1:20" ht="39" x14ac:dyDescent="0.25">
      <c r="A633" s="61" t="s">
        <v>242</v>
      </c>
      <c r="B633" s="51" t="s">
        <v>30</v>
      </c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58"/>
      <c r="R633" s="42"/>
      <c r="S633" s="42"/>
      <c r="T633" s="168"/>
    </row>
    <row r="634" spans="1:20" x14ac:dyDescent="0.25">
      <c r="A634" s="61"/>
      <c r="B634" s="51" t="s">
        <v>287</v>
      </c>
      <c r="C634" s="42"/>
      <c r="D634" s="42"/>
      <c r="E634" s="42"/>
      <c r="F634" s="42"/>
      <c r="G634" s="42"/>
      <c r="H634" s="42"/>
      <c r="I634" s="63"/>
      <c r="J634" s="42"/>
      <c r="K634" s="42"/>
      <c r="L634" s="42"/>
      <c r="M634" s="42"/>
      <c r="N634" s="42"/>
      <c r="O634" s="42"/>
      <c r="P634" s="42"/>
      <c r="Q634" s="58"/>
      <c r="R634" s="42"/>
      <c r="S634" s="42"/>
      <c r="T634" s="168"/>
    </row>
    <row r="635" spans="1:20" hidden="1" x14ac:dyDescent="0.25">
      <c r="A635" s="61"/>
      <c r="B635" s="51" t="s">
        <v>28</v>
      </c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58"/>
      <c r="R635" s="42"/>
      <c r="S635" s="42"/>
      <c r="T635" s="168"/>
    </row>
    <row r="636" spans="1:20" hidden="1" x14ac:dyDescent="0.25">
      <c r="A636" s="61"/>
      <c r="B636" s="51" t="s">
        <v>29</v>
      </c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58"/>
      <c r="R636" s="42"/>
      <c r="S636" s="42"/>
      <c r="T636" s="168"/>
    </row>
    <row r="637" spans="1:20" ht="39" hidden="1" x14ac:dyDescent="0.25">
      <c r="A637" s="61"/>
      <c r="B637" s="51" t="s">
        <v>9</v>
      </c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58"/>
      <c r="R637" s="42"/>
      <c r="S637" s="42"/>
      <c r="T637" s="168"/>
    </row>
    <row r="638" spans="1:20" ht="39" hidden="1" x14ac:dyDescent="0.25">
      <c r="A638" s="61"/>
      <c r="B638" s="51" t="s">
        <v>11</v>
      </c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58"/>
      <c r="R638" s="42"/>
      <c r="S638" s="42"/>
      <c r="T638" s="168"/>
    </row>
    <row r="639" spans="1:20" hidden="1" x14ac:dyDescent="0.25">
      <c r="A639" s="61"/>
      <c r="B639" s="51" t="s">
        <v>13</v>
      </c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58"/>
      <c r="R639" s="42"/>
      <c r="S639" s="42"/>
      <c r="T639" s="168"/>
    </row>
    <row r="640" spans="1:20" hidden="1" x14ac:dyDescent="0.25">
      <c r="A640" s="61"/>
      <c r="B640" s="61" t="s">
        <v>14</v>
      </c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58"/>
      <c r="R640" s="42"/>
      <c r="S640" s="42"/>
      <c r="T640" s="168"/>
    </row>
    <row r="641" spans="1:23" hidden="1" x14ac:dyDescent="0.25">
      <c r="A641" s="61"/>
      <c r="B641" s="61" t="s">
        <v>17</v>
      </c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58"/>
      <c r="R641" s="42"/>
      <c r="S641" s="42"/>
      <c r="T641" s="168"/>
    </row>
    <row r="642" spans="1:23" hidden="1" x14ac:dyDescent="0.25">
      <c r="A642" s="61"/>
      <c r="B642" s="61" t="s">
        <v>14</v>
      </c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58"/>
      <c r="R642" s="42"/>
      <c r="S642" s="42"/>
      <c r="T642" s="168"/>
    </row>
    <row r="643" spans="1:23" hidden="1" x14ac:dyDescent="0.25">
      <c r="A643" s="65"/>
      <c r="B643" s="51" t="s">
        <v>13</v>
      </c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58"/>
      <c r="R643" s="42"/>
      <c r="S643" s="42"/>
      <c r="T643" s="168"/>
    </row>
    <row r="644" spans="1:23" s="60" customFormat="1" hidden="1" x14ac:dyDescent="0.25">
      <c r="A644" s="56"/>
      <c r="B644" s="51" t="s">
        <v>27</v>
      </c>
      <c r="C644" s="58"/>
      <c r="D644" s="58"/>
      <c r="E644" s="58"/>
      <c r="F644" s="42"/>
      <c r="G644" s="58"/>
      <c r="H644" s="58"/>
      <c r="I644" s="58"/>
      <c r="J644" s="58"/>
      <c r="K644" s="42"/>
      <c r="L644" s="58"/>
      <c r="M644" s="42"/>
      <c r="N644" s="58"/>
      <c r="O644" s="42"/>
      <c r="P644" s="42"/>
      <c r="Q644" s="58"/>
      <c r="R644" s="42"/>
      <c r="S644" s="58"/>
      <c r="T644" s="168"/>
      <c r="U644" s="68"/>
      <c r="V644" s="66"/>
      <c r="W644" s="66"/>
    </row>
    <row r="645" spans="1:23" hidden="1" x14ac:dyDescent="0.25">
      <c r="A645" s="61"/>
      <c r="B645" s="51" t="s">
        <v>28</v>
      </c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58"/>
      <c r="R645" s="42"/>
      <c r="S645" s="42"/>
      <c r="T645" s="168"/>
    </row>
    <row r="646" spans="1:23" hidden="1" x14ac:dyDescent="0.25">
      <c r="A646" s="61"/>
      <c r="B646" s="51" t="s">
        <v>29</v>
      </c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58"/>
      <c r="R646" s="42"/>
      <c r="S646" s="42"/>
      <c r="T646" s="168"/>
    </row>
    <row r="647" spans="1:23" s="60" customFormat="1" x14ac:dyDescent="0.25">
      <c r="A647" s="56">
        <v>2</v>
      </c>
      <c r="B647" s="8" t="s">
        <v>233</v>
      </c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42"/>
      <c r="Q647" s="58"/>
      <c r="R647" s="58"/>
      <c r="S647" s="58"/>
      <c r="T647" s="168"/>
      <c r="U647" s="68"/>
      <c r="V647" s="66"/>
      <c r="W647" s="66"/>
    </row>
    <row r="648" spans="1:23" ht="39" hidden="1" x14ac:dyDescent="0.25">
      <c r="A648" s="61" t="s">
        <v>15</v>
      </c>
      <c r="B648" s="51" t="s">
        <v>54</v>
      </c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58"/>
      <c r="R648" s="42"/>
      <c r="S648" s="42"/>
      <c r="T648" s="169"/>
    </row>
    <row r="649" spans="1:23" hidden="1" x14ac:dyDescent="0.25">
      <c r="A649" s="61"/>
      <c r="B649" s="51" t="s">
        <v>27</v>
      </c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58"/>
      <c r="R649" s="42"/>
      <c r="S649" s="42"/>
      <c r="T649" s="169"/>
    </row>
    <row r="650" spans="1:23" hidden="1" x14ac:dyDescent="0.25">
      <c r="A650" s="61"/>
      <c r="B650" s="51" t="s">
        <v>28</v>
      </c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58"/>
      <c r="R650" s="42"/>
      <c r="S650" s="42"/>
      <c r="T650" s="169"/>
    </row>
    <row r="651" spans="1:23" hidden="1" x14ac:dyDescent="0.25">
      <c r="A651" s="61"/>
      <c r="B651" s="51" t="s">
        <v>29</v>
      </c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58"/>
      <c r="R651" s="42"/>
      <c r="S651" s="42"/>
      <c r="T651" s="169"/>
    </row>
    <row r="652" spans="1:23" ht="39" hidden="1" x14ac:dyDescent="0.25">
      <c r="A652" s="61" t="s">
        <v>59</v>
      </c>
      <c r="B652" s="51" t="s">
        <v>68</v>
      </c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58"/>
      <c r="R652" s="42"/>
      <c r="S652" s="42"/>
      <c r="T652" s="169"/>
    </row>
    <row r="653" spans="1:23" hidden="1" x14ac:dyDescent="0.25">
      <c r="A653" s="61"/>
      <c r="B653" s="51" t="s">
        <v>27</v>
      </c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58"/>
      <c r="R653" s="42"/>
      <c r="S653" s="42"/>
      <c r="T653" s="169"/>
    </row>
    <row r="654" spans="1:23" hidden="1" x14ac:dyDescent="0.25">
      <c r="A654" s="61"/>
      <c r="B654" s="51" t="s">
        <v>28</v>
      </c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58"/>
      <c r="R654" s="42"/>
      <c r="S654" s="42"/>
      <c r="T654" s="169"/>
    </row>
    <row r="655" spans="1:23" hidden="1" x14ac:dyDescent="0.25">
      <c r="A655" s="61"/>
      <c r="B655" s="51" t="s">
        <v>29</v>
      </c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58"/>
      <c r="R655" s="42"/>
      <c r="S655" s="42"/>
      <c r="T655" s="169"/>
    </row>
    <row r="656" spans="1:23" ht="39" hidden="1" x14ac:dyDescent="0.25">
      <c r="A656" s="61" t="s">
        <v>60</v>
      </c>
      <c r="B656" s="51" t="s">
        <v>55</v>
      </c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58"/>
      <c r="R656" s="42"/>
      <c r="S656" s="42"/>
      <c r="T656" s="169"/>
    </row>
    <row r="657" spans="1:20" hidden="1" x14ac:dyDescent="0.25">
      <c r="A657" s="61"/>
      <c r="B657" s="51" t="s">
        <v>27</v>
      </c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58"/>
      <c r="R657" s="42"/>
      <c r="S657" s="42"/>
      <c r="T657" s="169"/>
    </row>
    <row r="658" spans="1:20" hidden="1" x14ac:dyDescent="0.25">
      <c r="A658" s="61"/>
      <c r="B658" s="51" t="s">
        <v>28</v>
      </c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58"/>
      <c r="R658" s="42"/>
      <c r="S658" s="42"/>
      <c r="T658" s="169"/>
    </row>
    <row r="659" spans="1:20" hidden="1" x14ac:dyDescent="0.25">
      <c r="A659" s="61"/>
      <c r="B659" s="51" t="s">
        <v>29</v>
      </c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58"/>
      <c r="R659" s="42"/>
      <c r="S659" s="42"/>
      <c r="T659" s="169"/>
    </row>
    <row r="660" spans="1:20" ht="39" x14ac:dyDescent="0.25">
      <c r="A660" s="61" t="s">
        <v>243</v>
      </c>
      <c r="B660" s="51" t="s">
        <v>56</v>
      </c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58"/>
      <c r="R660" s="42"/>
      <c r="S660" s="42"/>
      <c r="T660" s="168"/>
    </row>
    <row r="661" spans="1:20" x14ac:dyDescent="0.25">
      <c r="A661" s="61"/>
      <c r="B661" s="51" t="s">
        <v>287</v>
      </c>
      <c r="C661" s="42"/>
      <c r="D661" s="42">
        <v>67698</v>
      </c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58"/>
      <c r="R661" s="42"/>
      <c r="S661" s="42"/>
      <c r="T661" s="168"/>
    </row>
    <row r="662" spans="1:20" x14ac:dyDescent="0.25">
      <c r="A662" s="61"/>
      <c r="B662" s="51" t="s">
        <v>28</v>
      </c>
      <c r="C662" s="42">
        <v>10</v>
      </c>
      <c r="D662" s="42">
        <v>50772</v>
      </c>
      <c r="E662" s="42">
        <f t="shared" ref="E662:E720" si="369">C662*D662</f>
        <v>507720</v>
      </c>
      <c r="F662" s="42">
        <f t="shared" ref="F662:F720" si="370">ROUND(D662*35.4%,0)</f>
        <v>17973</v>
      </c>
      <c r="G662" s="42">
        <f t="shared" ref="G662" si="371">C662*F662</f>
        <v>179730</v>
      </c>
      <c r="H662" s="63">
        <v>17881.599999999999</v>
      </c>
      <c r="I662" s="63">
        <v>1.65</v>
      </c>
      <c r="J662" s="42">
        <f t="shared" ref="J662" si="372">H662*I662</f>
        <v>29504.639999999996</v>
      </c>
      <c r="K662" s="42">
        <f>ROUND(C662*J662,0)+370820</f>
        <v>665866</v>
      </c>
      <c r="L662" s="42"/>
      <c r="M662" s="42"/>
      <c r="N662" s="42"/>
      <c r="O662" s="42"/>
      <c r="P662" s="42">
        <f t="shared" ref="P662:P721" si="373">D662+F662+J662+N662</f>
        <v>98249.64</v>
      </c>
      <c r="Q662" s="58"/>
      <c r="R662" s="42">
        <f t="shared" ref="R662:R721" si="374">E662+G662+K662+O662</f>
        <v>1353316</v>
      </c>
      <c r="S662" s="42"/>
      <c r="T662" s="168"/>
    </row>
    <row r="663" spans="1:20" x14ac:dyDescent="0.25">
      <c r="A663" s="61"/>
      <c r="B663" s="51" t="s">
        <v>289</v>
      </c>
      <c r="C663" s="42">
        <v>4</v>
      </c>
      <c r="D663" s="42">
        <v>50772</v>
      </c>
      <c r="E663" s="42">
        <f t="shared" si="369"/>
        <v>203088</v>
      </c>
      <c r="F663" s="42">
        <f t="shared" si="370"/>
        <v>17973</v>
      </c>
      <c r="G663" s="42">
        <f t="shared" ref="G663:G720" si="375">C663*F663</f>
        <v>71892</v>
      </c>
      <c r="H663" s="63">
        <v>17881.599999999999</v>
      </c>
      <c r="I663" s="63">
        <v>1.65</v>
      </c>
      <c r="J663" s="42">
        <f t="shared" ref="J663" si="376">H663*I663</f>
        <v>29504.639999999996</v>
      </c>
      <c r="K663" s="42">
        <f t="shared" ref="K663" si="377">ROUND(C663*J663,0)</f>
        <v>118019</v>
      </c>
      <c r="L663" s="42"/>
      <c r="M663" s="42"/>
      <c r="N663" s="42"/>
      <c r="O663" s="42"/>
      <c r="P663" s="42">
        <f t="shared" si="373"/>
        <v>98249.64</v>
      </c>
      <c r="Q663" s="58"/>
      <c r="R663" s="42">
        <f t="shared" si="374"/>
        <v>392999</v>
      </c>
      <c r="S663" s="42"/>
      <c r="T663" s="168"/>
    </row>
    <row r="664" spans="1:20" ht="51.75" hidden="1" x14ac:dyDescent="0.25">
      <c r="A664" s="61" t="s">
        <v>62</v>
      </c>
      <c r="B664" s="51" t="s">
        <v>57</v>
      </c>
      <c r="C664" s="42"/>
      <c r="D664" s="42"/>
      <c r="E664" s="42">
        <f t="shared" si="369"/>
        <v>0</v>
      </c>
      <c r="F664" s="42">
        <f t="shared" si="370"/>
        <v>0</v>
      </c>
      <c r="G664" s="42">
        <f t="shared" si="375"/>
        <v>0</v>
      </c>
      <c r="H664" s="42"/>
      <c r="I664" s="63">
        <v>1.65</v>
      </c>
      <c r="J664" s="42"/>
      <c r="K664" s="42"/>
      <c r="L664" s="42"/>
      <c r="M664" s="42"/>
      <c r="N664" s="42"/>
      <c r="O664" s="42"/>
      <c r="P664" s="42">
        <f t="shared" si="373"/>
        <v>0</v>
      </c>
      <c r="Q664" s="58"/>
      <c r="R664" s="42">
        <f t="shared" si="374"/>
        <v>0</v>
      </c>
      <c r="S664" s="42"/>
      <c r="T664" s="168"/>
    </row>
    <row r="665" spans="1:20" hidden="1" x14ac:dyDescent="0.25">
      <c r="A665" s="61"/>
      <c r="B665" s="51" t="s">
        <v>27</v>
      </c>
      <c r="C665" s="42"/>
      <c r="D665" s="42"/>
      <c r="E665" s="42">
        <f t="shared" si="369"/>
        <v>0</v>
      </c>
      <c r="F665" s="42">
        <f t="shared" si="370"/>
        <v>0</v>
      </c>
      <c r="G665" s="42">
        <f t="shared" si="375"/>
        <v>0</v>
      </c>
      <c r="H665" s="42"/>
      <c r="I665" s="63">
        <v>1.65</v>
      </c>
      <c r="J665" s="42"/>
      <c r="K665" s="42"/>
      <c r="L665" s="42"/>
      <c r="M665" s="42"/>
      <c r="N665" s="42"/>
      <c r="O665" s="42"/>
      <c r="P665" s="42">
        <f t="shared" si="373"/>
        <v>0</v>
      </c>
      <c r="Q665" s="58"/>
      <c r="R665" s="42">
        <f t="shared" si="374"/>
        <v>0</v>
      </c>
      <c r="S665" s="42"/>
      <c r="T665" s="168"/>
    </row>
    <row r="666" spans="1:20" hidden="1" x14ac:dyDescent="0.25">
      <c r="A666" s="61"/>
      <c r="B666" s="51" t="s">
        <v>28</v>
      </c>
      <c r="C666" s="42"/>
      <c r="D666" s="42"/>
      <c r="E666" s="42">
        <f t="shared" si="369"/>
        <v>0</v>
      </c>
      <c r="F666" s="42">
        <f t="shared" si="370"/>
        <v>0</v>
      </c>
      <c r="G666" s="42">
        <f t="shared" si="375"/>
        <v>0</v>
      </c>
      <c r="H666" s="42"/>
      <c r="I666" s="63">
        <v>1.65</v>
      </c>
      <c r="J666" s="42"/>
      <c r="K666" s="42"/>
      <c r="L666" s="42"/>
      <c r="M666" s="42"/>
      <c r="N666" s="42"/>
      <c r="O666" s="42"/>
      <c r="P666" s="42">
        <f t="shared" si="373"/>
        <v>0</v>
      </c>
      <c r="Q666" s="58"/>
      <c r="R666" s="42">
        <f t="shared" si="374"/>
        <v>0</v>
      </c>
      <c r="S666" s="42"/>
      <c r="T666" s="168"/>
    </row>
    <row r="667" spans="1:20" hidden="1" x14ac:dyDescent="0.25">
      <c r="A667" s="61"/>
      <c r="B667" s="51" t="s">
        <v>29</v>
      </c>
      <c r="C667" s="42"/>
      <c r="D667" s="42"/>
      <c r="E667" s="42">
        <f t="shared" si="369"/>
        <v>0</v>
      </c>
      <c r="F667" s="42">
        <f t="shared" si="370"/>
        <v>0</v>
      </c>
      <c r="G667" s="42">
        <f t="shared" si="375"/>
        <v>0</v>
      </c>
      <c r="H667" s="42"/>
      <c r="I667" s="63">
        <v>1.65</v>
      </c>
      <c r="J667" s="42"/>
      <c r="K667" s="42"/>
      <c r="L667" s="42"/>
      <c r="M667" s="42"/>
      <c r="N667" s="42"/>
      <c r="O667" s="42"/>
      <c r="P667" s="42">
        <f t="shared" si="373"/>
        <v>0</v>
      </c>
      <c r="Q667" s="58"/>
      <c r="R667" s="42">
        <f t="shared" si="374"/>
        <v>0</v>
      </c>
      <c r="S667" s="42"/>
      <c r="T667" s="168"/>
    </row>
    <row r="668" spans="1:20" ht="51.75" hidden="1" x14ac:dyDescent="0.25">
      <c r="A668" s="61" t="s">
        <v>63</v>
      </c>
      <c r="B668" s="51" t="s">
        <v>58</v>
      </c>
      <c r="C668" s="42"/>
      <c r="D668" s="42"/>
      <c r="E668" s="42">
        <f t="shared" si="369"/>
        <v>0</v>
      </c>
      <c r="F668" s="42">
        <f t="shared" si="370"/>
        <v>0</v>
      </c>
      <c r="G668" s="42">
        <f t="shared" si="375"/>
        <v>0</v>
      </c>
      <c r="H668" s="42"/>
      <c r="I668" s="63">
        <v>1.65</v>
      </c>
      <c r="J668" s="42"/>
      <c r="K668" s="42"/>
      <c r="L668" s="42"/>
      <c r="M668" s="42"/>
      <c r="N668" s="42"/>
      <c r="O668" s="42"/>
      <c r="P668" s="42">
        <f t="shared" si="373"/>
        <v>0</v>
      </c>
      <c r="Q668" s="58"/>
      <c r="R668" s="42">
        <f t="shared" si="374"/>
        <v>0</v>
      </c>
      <c r="S668" s="42"/>
      <c r="T668" s="168"/>
    </row>
    <row r="669" spans="1:20" hidden="1" x14ac:dyDescent="0.25">
      <c r="A669" s="61"/>
      <c r="B669" s="51" t="s">
        <v>27</v>
      </c>
      <c r="C669" s="42"/>
      <c r="D669" s="42"/>
      <c r="E669" s="42">
        <f t="shared" si="369"/>
        <v>0</v>
      </c>
      <c r="F669" s="42">
        <f t="shared" si="370"/>
        <v>0</v>
      </c>
      <c r="G669" s="42">
        <f t="shared" si="375"/>
        <v>0</v>
      </c>
      <c r="H669" s="42"/>
      <c r="I669" s="63">
        <v>1.65</v>
      </c>
      <c r="J669" s="42"/>
      <c r="K669" s="42"/>
      <c r="L669" s="42"/>
      <c r="M669" s="42"/>
      <c r="N669" s="42"/>
      <c r="O669" s="42"/>
      <c r="P669" s="42">
        <f t="shared" si="373"/>
        <v>0</v>
      </c>
      <c r="Q669" s="58"/>
      <c r="R669" s="42">
        <f t="shared" si="374"/>
        <v>0</v>
      </c>
      <c r="S669" s="42"/>
      <c r="T669" s="168"/>
    </row>
    <row r="670" spans="1:20" hidden="1" x14ac:dyDescent="0.25">
      <c r="A670" s="61"/>
      <c r="B670" s="51" t="s">
        <v>28</v>
      </c>
      <c r="C670" s="42"/>
      <c r="D670" s="42"/>
      <c r="E670" s="42">
        <f t="shared" si="369"/>
        <v>0</v>
      </c>
      <c r="F670" s="42">
        <f t="shared" si="370"/>
        <v>0</v>
      </c>
      <c r="G670" s="42">
        <f t="shared" si="375"/>
        <v>0</v>
      </c>
      <c r="H670" s="42"/>
      <c r="I670" s="63">
        <v>1.65</v>
      </c>
      <c r="J670" s="42"/>
      <c r="K670" s="42"/>
      <c r="L670" s="42"/>
      <c r="M670" s="42"/>
      <c r="N670" s="42"/>
      <c r="O670" s="42"/>
      <c r="P670" s="42">
        <f t="shared" si="373"/>
        <v>0</v>
      </c>
      <c r="Q670" s="58"/>
      <c r="R670" s="42">
        <f t="shared" si="374"/>
        <v>0</v>
      </c>
      <c r="S670" s="42"/>
      <c r="T670" s="168"/>
    </row>
    <row r="671" spans="1:20" hidden="1" x14ac:dyDescent="0.25">
      <c r="A671" s="61"/>
      <c r="B671" s="51" t="s">
        <v>29</v>
      </c>
      <c r="C671" s="42"/>
      <c r="D671" s="42"/>
      <c r="E671" s="42">
        <f t="shared" si="369"/>
        <v>0</v>
      </c>
      <c r="F671" s="42">
        <f t="shared" si="370"/>
        <v>0</v>
      </c>
      <c r="G671" s="42">
        <f t="shared" si="375"/>
        <v>0</v>
      </c>
      <c r="H671" s="42"/>
      <c r="I671" s="63">
        <v>1.65</v>
      </c>
      <c r="J671" s="42"/>
      <c r="K671" s="42"/>
      <c r="L671" s="42"/>
      <c r="M671" s="42"/>
      <c r="N671" s="42"/>
      <c r="O671" s="42"/>
      <c r="P671" s="42">
        <f t="shared" si="373"/>
        <v>0</v>
      </c>
      <c r="Q671" s="58"/>
      <c r="R671" s="42">
        <f t="shared" si="374"/>
        <v>0</v>
      </c>
      <c r="S671" s="42"/>
      <c r="T671" s="168"/>
    </row>
    <row r="672" spans="1:20" ht="39" hidden="1" x14ac:dyDescent="0.25">
      <c r="A672" s="61" t="s">
        <v>64</v>
      </c>
      <c r="B672" s="51" t="s">
        <v>30</v>
      </c>
      <c r="C672" s="42"/>
      <c r="D672" s="42"/>
      <c r="E672" s="42">
        <f t="shared" si="369"/>
        <v>0</v>
      </c>
      <c r="F672" s="42">
        <f t="shared" si="370"/>
        <v>0</v>
      </c>
      <c r="G672" s="42">
        <f t="shared" si="375"/>
        <v>0</v>
      </c>
      <c r="H672" s="42"/>
      <c r="I672" s="63">
        <v>1.65</v>
      </c>
      <c r="J672" s="42"/>
      <c r="K672" s="42"/>
      <c r="L672" s="42"/>
      <c r="M672" s="42"/>
      <c r="N672" s="42"/>
      <c r="O672" s="42"/>
      <c r="P672" s="42">
        <f t="shared" si="373"/>
        <v>0</v>
      </c>
      <c r="Q672" s="58"/>
      <c r="R672" s="42">
        <f t="shared" si="374"/>
        <v>0</v>
      </c>
      <c r="S672" s="42"/>
      <c r="T672" s="168"/>
    </row>
    <row r="673" spans="1:23" hidden="1" x14ac:dyDescent="0.25">
      <c r="A673" s="61"/>
      <c r="B673" s="51" t="s">
        <v>27</v>
      </c>
      <c r="C673" s="42"/>
      <c r="D673" s="42"/>
      <c r="E673" s="42">
        <f t="shared" si="369"/>
        <v>0</v>
      </c>
      <c r="F673" s="42">
        <f t="shared" si="370"/>
        <v>0</v>
      </c>
      <c r="G673" s="42">
        <f t="shared" si="375"/>
        <v>0</v>
      </c>
      <c r="H673" s="42"/>
      <c r="I673" s="63">
        <v>1.65</v>
      </c>
      <c r="J673" s="42"/>
      <c r="K673" s="42"/>
      <c r="L673" s="42"/>
      <c r="M673" s="42"/>
      <c r="N673" s="42"/>
      <c r="O673" s="42"/>
      <c r="P673" s="42">
        <f t="shared" si="373"/>
        <v>0</v>
      </c>
      <c r="Q673" s="58"/>
      <c r="R673" s="42">
        <f t="shared" si="374"/>
        <v>0</v>
      </c>
      <c r="S673" s="42"/>
      <c r="T673" s="168"/>
    </row>
    <row r="674" spans="1:23" hidden="1" x14ac:dyDescent="0.25">
      <c r="A674" s="61"/>
      <c r="B674" s="51" t="s">
        <v>28</v>
      </c>
      <c r="C674" s="42"/>
      <c r="D674" s="42"/>
      <c r="E674" s="42">
        <f t="shared" si="369"/>
        <v>0</v>
      </c>
      <c r="F674" s="42">
        <f t="shared" si="370"/>
        <v>0</v>
      </c>
      <c r="G674" s="42">
        <f t="shared" si="375"/>
        <v>0</v>
      </c>
      <c r="H674" s="42"/>
      <c r="I674" s="63">
        <v>1.65</v>
      </c>
      <c r="J674" s="42"/>
      <c r="K674" s="42"/>
      <c r="L674" s="42"/>
      <c r="M674" s="42"/>
      <c r="N674" s="42"/>
      <c r="O674" s="42"/>
      <c r="P674" s="42">
        <f t="shared" si="373"/>
        <v>0</v>
      </c>
      <c r="Q674" s="58"/>
      <c r="R674" s="42">
        <f t="shared" si="374"/>
        <v>0</v>
      </c>
      <c r="S674" s="42"/>
      <c r="T674" s="168"/>
    </row>
    <row r="675" spans="1:23" hidden="1" x14ac:dyDescent="0.25">
      <c r="A675" s="61"/>
      <c r="B675" s="51" t="s">
        <v>29</v>
      </c>
      <c r="C675" s="42"/>
      <c r="D675" s="42"/>
      <c r="E675" s="42">
        <f t="shared" si="369"/>
        <v>0</v>
      </c>
      <c r="F675" s="42">
        <f t="shared" si="370"/>
        <v>0</v>
      </c>
      <c r="G675" s="42">
        <f t="shared" si="375"/>
        <v>0</v>
      </c>
      <c r="H675" s="42"/>
      <c r="I675" s="63">
        <v>1.65</v>
      </c>
      <c r="J675" s="42"/>
      <c r="K675" s="42"/>
      <c r="L675" s="42"/>
      <c r="M675" s="42"/>
      <c r="N675" s="42"/>
      <c r="O675" s="42"/>
      <c r="P675" s="42">
        <f t="shared" si="373"/>
        <v>0</v>
      </c>
      <c r="Q675" s="58"/>
      <c r="R675" s="42">
        <f t="shared" si="374"/>
        <v>0</v>
      </c>
      <c r="S675" s="42"/>
      <c r="T675" s="168"/>
    </row>
    <row r="676" spans="1:23" ht="39" hidden="1" x14ac:dyDescent="0.25">
      <c r="A676" s="61"/>
      <c r="B676" s="51" t="s">
        <v>9</v>
      </c>
      <c r="C676" s="42"/>
      <c r="D676" s="42"/>
      <c r="E676" s="42">
        <f t="shared" si="369"/>
        <v>0</v>
      </c>
      <c r="F676" s="42">
        <f t="shared" si="370"/>
        <v>0</v>
      </c>
      <c r="G676" s="42">
        <f t="shared" si="375"/>
        <v>0</v>
      </c>
      <c r="H676" s="42"/>
      <c r="I676" s="63">
        <v>1.65</v>
      </c>
      <c r="J676" s="42"/>
      <c r="K676" s="42"/>
      <c r="L676" s="42"/>
      <c r="M676" s="42"/>
      <c r="N676" s="42"/>
      <c r="O676" s="42"/>
      <c r="P676" s="42">
        <f t="shared" si="373"/>
        <v>0</v>
      </c>
      <c r="Q676" s="58"/>
      <c r="R676" s="42">
        <f t="shared" si="374"/>
        <v>0</v>
      </c>
      <c r="S676" s="42"/>
      <c r="T676" s="168"/>
    </row>
    <row r="677" spans="1:23" ht="39" hidden="1" x14ac:dyDescent="0.25">
      <c r="A677" s="61"/>
      <c r="B677" s="51" t="s">
        <v>11</v>
      </c>
      <c r="C677" s="42"/>
      <c r="D677" s="42"/>
      <c r="E677" s="42">
        <f t="shared" si="369"/>
        <v>0</v>
      </c>
      <c r="F677" s="42">
        <f t="shared" si="370"/>
        <v>0</v>
      </c>
      <c r="G677" s="42">
        <f t="shared" si="375"/>
        <v>0</v>
      </c>
      <c r="H677" s="42"/>
      <c r="I677" s="63">
        <v>1.65</v>
      </c>
      <c r="J677" s="42"/>
      <c r="K677" s="42"/>
      <c r="L677" s="42"/>
      <c r="M677" s="42"/>
      <c r="N677" s="42"/>
      <c r="O677" s="42"/>
      <c r="P677" s="42">
        <f t="shared" si="373"/>
        <v>0</v>
      </c>
      <c r="Q677" s="58"/>
      <c r="R677" s="42">
        <f t="shared" si="374"/>
        <v>0</v>
      </c>
      <c r="S677" s="42"/>
      <c r="T677" s="168"/>
    </row>
    <row r="678" spans="1:23" hidden="1" x14ac:dyDescent="0.25">
      <c r="A678" s="61"/>
      <c r="B678" s="51" t="s">
        <v>13</v>
      </c>
      <c r="C678" s="42"/>
      <c r="D678" s="42"/>
      <c r="E678" s="42">
        <f t="shared" si="369"/>
        <v>0</v>
      </c>
      <c r="F678" s="42">
        <f t="shared" si="370"/>
        <v>0</v>
      </c>
      <c r="G678" s="42">
        <f t="shared" si="375"/>
        <v>0</v>
      </c>
      <c r="H678" s="42"/>
      <c r="I678" s="63">
        <v>1.65</v>
      </c>
      <c r="J678" s="42"/>
      <c r="K678" s="42"/>
      <c r="L678" s="42"/>
      <c r="M678" s="42"/>
      <c r="N678" s="42"/>
      <c r="O678" s="42"/>
      <c r="P678" s="42">
        <f t="shared" si="373"/>
        <v>0</v>
      </c>
      <c r="Q678" s="58"/>
      <c r="R678" s="42">
        <f t="shared" si="374"/>
        <v>0</v>
      </c>
      <c r="S678" s="42"/>
      <c r="T678" s="168"/>
    </row>
    <row r="679" spans="1:23" hidden="1" x14ac:dyDescent="0.25">
      <c r="A679" s="61"/>
      <c r="B679" s="61" t="s">
        <v>14</v>
      </c>
      <c r="C679" s="42"/>
      <c r="D679" s="42"/>
      <c r="E679" s="42">
        <f t="shared" si="369"/>
        <v>0</v>
      </c>
      <c r="F679" s="42">
        <f t="shared" si="370"/>
        <v>0</v>
      </c>
      <c r="G679" s="42">
        <f t="shared" si="375"/>
        <v>0</v>
      </c>
      <c r="H679" s="42"/>
      <c r="I679" s="63">
        <v>1.65</v>
      </c>
      <c r="J679" s="42"/>
      <c r="K679" s="42"/>
      <c r="L679" s="42"/>
      <c r="M679" s="42"/>
      <c r="N679" s="42"/>
      <c r="O679" s="42"/>
      <c r="P679" s="42">
        <f t="shared" si="373"/>
        <v>0</v>
      </c>
      <c r="Q679" s="58"/>
      <c r="R679" s="42">
        <f t="shared" si="374"/>
        <v>0</v>
      </c>
      <c r="S679" s="42"/>
      <c r="T679" s="168"/>
    </row>
    <row r="680" spans="1:23" hidden="1" x14ac:dyDescent="0.25">
      <c r="A680" s="61"/>
      <c r="B680" s="61" t="s">
        <v>17</v>
      </c>
      <c r="C680" s="42"/>
      <c r="D680" s="42"/>
      <c r="E680" s="42">
        <f t="shared" si="369"/>
        <v>0</v>
      </c>
      <c r="F680" s="42">
        <f t="shared" si="370"/>
        <v>0</v>
      </c>
      <c r="G680" s="42">
        <f t="shared" si="375"/>
        <v>0</v>
      </c>
      <c r="H680" s="42"/>
      <c r="I680" s="63">
        <v>1.65</v>
      </c>
      <c r="J680" s="42"/>
      <c r="K680" s="42"/>
      <c r="L680" s="42"/>
      <c r="M680" s="42"/>
      <c r="N680" s="42"/>
      <c r="O680" s="42"/>
      <c r="P680" s="42">
        <f t="shared" si="373"/>
        <v>0</v>
      </c>
      <c r="Q680" s="58"/>
      <c r="R680" s="42">
        <f t="shared" si="374"/>
        <v>0</v>
      </c>
      <c r="S680" s="42"/>
      <c r="T680" s="168"/>
    </row>
    <row r="681" spans="1:23" hidden="1" x14ac:dyDescent="0.25">
      <c r="A681" s="61"/>
      <c r="B681" s="61" t="s">
        <v>14</v>
      </c>
      <c r="C681" s="42"/>
      <c r="D681" s="42"/>
      <c r="E681" s="42">
        <f t="shared" si="369"/>
        <v>0</v>
      </c>
      <c r="F681" s="42">
        <f t="shared" si="370"/>
        <v>0</v>
      </c>
      <c r="G681" s="42">
        <f t="shared" si="375"/>
        <v>0</v>
      </c>
      <c r="H681" s="42"/>
      <c r="I681" s="63">
        <v>1.65</v>
      </c>
      <c r="J681" s="42"/>
      <c r="K681" s="42"/>
      <c r="L681" s="42"/>
      <c r="M681" s="42"/>
      <c r="N681" s="42"/>
      <c r="O681" s="42"/>
      <c r="P681" s="42">
        <f t="shared" si="373"/>
        <v>0</v>
      </c>
      <c r="Q681" s="58"/>
      <c r="R681" s="42">
        <f t="shared" si="374"/>
        <v>0</v>
      </c>
      <c r="S681" s="42"/>
      <c r="T681" s="168"/>
    </row>
    <row r="682" spans="1:23" hidden="1" x14ac:dyDescent="0.25">
      <c r="A682" s="65"/>
      <c r="B682" s="51" t="s">
        <v>13</v>
      </c>
      <c r="C682" s="42"/>
      <c r="D682" s="42"/>
      <c r="E682" s="42">
        <f t="shared" si="369"/>
        <v>0</v>
      </c>
      <c r="F682" s="42">
        <f t="shared" si="370"/>
        <v>0</v>
      </c>
      <c r="G682" s="42">
        <f t="shared" si="375"/>
        <v>0</v>
      </c>
      <c r="H682" s="42"/>
      <c r="I682" s="63">
        <v>1.65</v>
      </c>
      <c r="J682" s="42"/>
      <c r="K682" s="42"/>
      <c r="L682" s="42"/>
      <c r="M682" s="42"/>
      <c r="N682" s="42"/>
      <c r="O682" s="42"/>
      <c r="P682" s="42">
        <f t="shared" si="373"/>
        <v>0</v>
      </c>
      <c r="Q682" s="58"/>
      <c r="R682" s="42">
        <f t="shared" si="374"/>
        <v>0</v>
      </c>
      <c r="S682" s="42"/>
      <c r="T682" s="168"/>
    </row>
    <row r="683" spans="1:23" s="60" customFormat="1" hidden="1" x14ac:dyDescent="0.25">
      <c r="A683" s="56"/>
      <c r="B683" s="51" t="s">
        <v>27</v>
      </c>
      <c r="C683" s="58"/>
      <c r="D683" s="58"/>
      <c r="E683" s="42">
        <f t="shared" si="369"/>
        <v>0</v>
      </c>
      <c r="F683" s="42">
        <f t="shared" si="370"/>
        <v>0</v>
      </c>
      <c r="G683" s="42">
        <f t="shared" si="375"/>
        <v>0</v>
      </c>
      <c r="H683" s="58"/>
      <c r="I683" s="63">
        <v>1.65</v>
      </c>
      <c r="J683" s="58"/>
      <c r="K683" s="42"/>
      <c r="L683" s="58"/>
      <c r="M683" s="42"/>
      <c r="N683" s="58"/>
      <c r="O683" s="42"/>
      <c r="P683" s="42">
        <f t="shared" si="373"/>
        <v>0</v>
      </c>
      <c r="Q683" s="58"/>
      <c r="R683" s="42">
        <f t="shared" si="374"/>
        <v>0</v>
      </c>
      <c r="S683" s="58"/>
      <c r="T683" s="168"/>
      <c r="U683" s="68"/>
      <c r="V683" s="66"/>
      <c r="W683" s="66"/>
    </row>
    <row r="684" spans="1:23" hidden="1" x14ac:dyDescent="0.25">
      <c r="A684" s="61"/>
      <c r="B684" s="51" t="s">
        <v>28</v>
      </c>
      <c r="C684" s="42"/>
      <c r="D684" s="42"/>
      <c r="E684" s="42">
        <f t="shared" si="369"/>
        <v>0</v>
      </c>
      <c r="F684" s="42">
        <f t="shared" si="370"/>
        <v>0</v>
      </c>
      <c r="G684" s="42">
        <f t="shared" si="375"/>
        <v>0</v>
      </c>
      <c r="H684" s="42"/>
      <c r="I684" s="63">
        <v>1.65</v>
      </c>
      <c r="J684" s="42"/>
      <c r="K684" s="42"/>
      <c r="L684" s="42"/>
      <c r="M684" s="42"/>
      <c r="N684" s="42"/>
      <c r="O684" s="42"/>
      <c r="P684" s="42">
        <f t="shared" si="373"/>
        <v>0</v>
      </c>
      <c r="Q684" s="58"/>
      <c r="R684" s="42">
        <f t="shared" si="374"/>
        <v>0</v>
      </c>
      <c r="S684" s="42"/>
      <c r="T684" s="168"/>
    </row>
    <row r="685" spans="1:23" hidden="1" x14ac:dyDescent="0.25">
      <c r="A685" s="61"/>
      <c r="B685" s="51" t="s">
        <v>29</v>
      </c>
      <c r="C685" s="42"/>
      <c r="D685" s="42"/>
      <c r="E685" s="42">
        <f t="shared" si="369"/>
        <v>0</v>
      </c>
      <c r="F685" s="42">
        <f t="shared" si="370"/>
        <v>0</v>
      </c>
      <c r="G685" s="42">
        <f t="shared" si="375"/>
        <v>0</v>
      </c>
      <c r="H685" s="42"/>
      <c r="I685" s="63">
        <v>1.65</v>
      </c>
      <c r="J685" s="42"/>
      <c r="K685" s="42"/>
      <c r="L685" s="42"/>
      <c r="M685" s="42"/>
      <c r="N685" s="42"/>
      <c r="O685" s="42"/>
      <c r="P685" s="42">
        <f t="shared" si="373"/>
        <v>0</v>
      </c>
      <c r="Q685" s="58"/>
      <c r="R685" s="42">
        <f t="shared" si="374"/>
        <v>0</v>
      </c>
      <c r="S685" s="42"/>
      <c r="T685" s="168"/>
    </row>
    <row r="686" spans="1:23" s="60" customFormat="1" hidden="1" x14ac:dyDescent="0.25">
      <c r="A686" s="56">
        <v>2</v>
      </c>
      <c r="B686" s="8" t="s">
        <v>77</v>
      </c>
      <c r="C686" s="58"/>
      <c r="D686" s="58"/>
      <c r="E686" s="42">
        <f t="shared" si="369"/>
        <v>0</v>
      </c>
      <c r="F686" s="42">
        <f t="shared" si="370"/>
        <v>0</v>
      </c>
      <c r="G686" s="42">
        <f t="shared" si="375"/>
        <v>0</v>
      </c>
      <c r="H686" s="58"/>
      <c r="I686" s="63">
        <v>1.65</v>
      </c>
      <c r="J686" s="58"/>
      <c r="K686" s="42"/>
      <c r="L686" s="58"/>
      <c r="M686" s="42"/>
      <c r="N686" s="58"/>
      <c r="O686" s="42"/>
      <c r="P686" s="42">
        <f t="shared" si="373"/>
        <v>0</v>
      </c>
      <c r="Q686" s="58"/>
      <c r="R686" s="42">
        <f t="shared" si="374"/>
        <v>0</v>
      </c>
      <c r="S686" s="58"/>
      <c r="T686" s="168"/>
      <c r="U686" s="68"/>
      <c r="V686" s="66"/>
      <c r="W686" s="66"/>
    </row>
    <row r="687" spans="1:23" ht="39" hidden="1" x14ac:dyDescent="0.25">
      <c r="A687" s="61" t="s">
        <v>15</v>
      </c>
      <c r="B687" s="51" t="s">
        <v>54</v>
      </c>
      <c r="C687" s="42"/>
      <c r="D687" s="42"/>
      <c r="E687" s="42">
        <f t="shared" si="369"/>
        <v>0</v>
      </c>
      <c r="F687" s="42">
        <f t="shared" si="370"/>
        <v>0</v>
      </c>
      <c r="G687" s="42">
        <f t="shared" si="375"/>
        <v>0</v>
      </c>
      <c r="H687" s="42"/>
      <c r="I687" s="63">
        <v>1.65</v>
      </c>
      <c r="J687" s="42"/>
      <c r="K687" s="42"/>
      <c r="L687" s="42"/>
      <c r="M687" s="42"/>
      <c r="N687" s="42"/>
      <c r="O687" s="42"/>
      <c r="P687" s="42">
        <f t="shared" si="373"/>
        <v>0</v>
      </c>
      <c r="Q687" s="58"/>
      <c r="R687" s="42">
        <f t="shared" si="374"/>
        <v>0</v>
      </c>
      <c r="S687" s="42"/>
      <c r="T687" s="169"/>
    </row>
    <row r="688" spans="1:23" hidden="1" x14ac:dyDescent="0.25">
      <c r="A688" s="61"/>
      <c r="B688" s="51" t="s">
        <v>27</v>
      </c>
      <c r="C688" s="42"/>
      <c r="D688" s="42"/>
      <c r="E688" s="42">
        <f t="shared" si="369"/>
        <v>0</v>
      </c>
      <c r="F688" s="42">
        <f t="shared" si="370"/>
        <v>0</v>
      </c>
      <c r="G688" s="42">
        <f t="shared" si="375"/>
        <v>0</v>
      </c>
      <c r="H688" s="42"/>
      <c r="I688" s="63">
        <v>1.65</v>
      </c>
      <c r="J688" s="42"/>
      <c r="K688" s="42"/>
      <c r="L688" s="42"/>
      <c r="M688" s="42"/>
      <c r="N688" s="42"/>
      <c r="O688" s="42"/>
      <c r="P688" s="42">
        <f t="shared" si="373"/>
        <v>0</v>
      </c>
      <c r="Q688" s="58"/>
      <c r="R688" s="42">
        <f t="shared" si="374"/>
        <v>0</v>
      </c>
      <c r="S688" s="42"/>
      <c r="T688" s="169"/>
    </row>
    <row r="689" spans="1:20" hidden="1" x14ac:dyDescent="0.25">
      <c r="A689" s="61"/>
      <c r="B689" s="51" t="s">
        <v>28</v>
      </c>
      <c r="C689" s="42"/>
      <c r="D689" s="42"/>
      <c r="E689" s="42">
        <f t="shared" si="369"/>
        <v>0</v>
      </c>
      <c r="F689" s="42">
        <f t="shared" si="370"/>
        <v>0</v>
      </c>
      <c r="G689" s="42">
        <f t="shared" si="375"/>
        <v>0</v>
      </c>
      <c r="H689" s="42"/>
      <c r="I689" s="63">
        <v>1.65</v>
      </c>
      <c r="J689" s="42"/>
      <c r="K689" s="42"/>
      <c r="L689" s="42"/>
      <c r="M689" s="42"/>
      <c r="N689" s="42"/>
      <c r="O689" s="42"/>
      <c r="P689" s="42">
        <f t="shared" si="373"/>
        <v>0</v>
      </c>
      <c r="Q689" s="58"/>
      <c r="R689" s="42">
        <f t="shared" si="374"/>
        <v>0</v>
      </c>
      <c r="S689" s="42"/>
      <c r="T689" s="169"/>
    </row>
    <row r="690" spans="1:20" hidden="1" x14ac:dyDescent="0.25">
      <c r="A690" s="61"/>
      <c r="B690" s="51" t="s">
        <v>29</v>
      </c>
      <c r="C690" s="42"/>
      <c r="D690" s="42"/>
      <c r="E690" s="42">
        <f t="shared" si="369"/>
        <v>0</v>
      </c>
      <c r="F690" s="42">
        <f t="shared" si="370"/>
        <v>0</v>
      </c>
      <c r="G690" s="42">
        <f t="shared" si="375"/>
        <v>0</v>
      </c>
      <c r="H690" s="42"/>
      <c r="I690" s="63">
        <v>1.65</v>
      </c>
      <c r="J690" s="42"/>
      <c r="K690" s="42"/>
      <c r="L690" s="42"/>
      <c r="M690" s="42"/>
      <c r="N690" s="42"/>
      <c r="O690" s="42"/>
      <c r="P690" s="42">
        <f t="shared" si="373"/>
        <v>0</v>
      </c>
      <c r="Q690" s="58"/>
      <c r="R690" s="42">
        <f t="shared" si="374"/>
        <v>0</v>
      </c>
      <c r="S690" s="42"/>
      <c r="T690" s="169"/>
    </row>
    <row r="691" spans="1:20" ht="39" hidden="1" x14ac:dyDescent="0.25">
      <c r="A691" s="61" t="s">
        <v>59</v>
      </c>
      <c r="B691" s="51" t="s">
        <v>68</v>
      </c>
      <c r="C691" s="42"/>
      <c r="D691" s="42"/>
      <c r="E691" s="42">
        <f t="shared" si="369"/>
        <v>0</v>
      </c>
      <c r="F691" s="42">
        <f t="shared" si="370"/>
        <v>0</v>
      </c>
      <c r="G691" s="42">
        <f t="shared" si="375"/>
        <v>0</v>
      </c>
      <c r="H691" s="42"/>
      <c r="I691" s="63">
        <v>1.65</v>
      </c>
      <c r="J691" s="42"/>
      <c r="K691" s="42"/>
      <c r="L691" s="42"/>
      <c r="M691" s="42"/>
      <c r="N691" s="42"/>
      <c r="O691" s="42"/>
      <c r="P691" s="42">
        <f t="shared" si="373"/>
        <v>0</v>
      </c>
      <c r="Q691" s="58"/>
      <c r="R691" s="42">
        <f t="shared" si="374"/>
        <v>0</v>
      </c>
      <c r="S691" s="42"/>
      <c r="T691" s="169"/>
    </row>
    <row r="692" spans="1:20" hidden="1" x14ac:dyDescent="0.25">
      <c r="A692" s="61"/>
      <c r="B692" s="51" t="s">
        <v>27</v>
      </c>
      <c r="C692" s="42"/>
      <c r="D692" s="42"/>
      <c r="E692" s="42">
        <f t="shared" si="369"/>
        <v>0</v>
      </c>
      <c r="F692" s="42">
        <f t="shared" si="370"/>
        <v>0</v>
      </c>
      <c r="G692" s="42">
        <f t="shared" si="375"/>
        <v>0</v>
      </c>
      <c r="H692" s="42"/>
      <c r="I692" s="63">
        <v>1.65</v>
      </c>
      <c r="J692" s="42"/>
      <c r="K692" s="42"/>
      <c r="L692" s="42"/>
      <c r="M692" s="42"/>
      <c r="N692" s="42"/>
      <c r="O692" s="42"/>
      <c r="P692" s="42">
        <f t="shared" si="373"/>
        <v>0</v>
      </c>
      <c r="Q692" s="58"/>
      <c r="R692" s="42">
        <f t="shared" si="374"/>
        <v>0</v>
      </c>
      <c r="S692" s="42"/>
      <c r="T692" s="169"/>
    </row>
    <row r="693" spans="1:20" hidden="1" x14ac:dyDescent="0.25">
      <c r="A693" s="61"/>
      <c r="B693" s="51" t="s">
        <v>28</v>
      </c>
      <c r="C693" s="42"/>
      <c r="D693" s="42"/>
      <c r="E693" s="42">
        <f t="shared" si="369"/>
        <v>0</v>
      </c>
      <c r="F693" s="42">
        <f t="shared" si="370"/>
        <v>0</v>
      </c>
      <c r="G693" s="42">
        <f t="shared" si="375"/>
        <v>0</v>
      </c>
      <c r="H693" s="42"/>
      <c r="I693" s="63">
        <v>1.65</v>
      </c>
      <c r="J693" s="42"/>
      <c r="K693" s="42"/>
      <c r="L693" s="42"/>
      <c r="M693" s="42"/>
      <c r="N693" s="42"/>
      <c r="O693" s="42"/>
      <c r="P693" s="42">
        <f t="shared" si="373"/>
        <v>0</v>
      </c>
      <c r="Q693" s="58"/>
      <c r="R693" s="42">
        <f t="shared" si="374"/>
        <v>0</v>
      </c>
      <c r="S693" s="42"/>
      <c r="T693" s="169"/>
    </row>
    <row r="694" spans="1:20" hidden="1" x14ac:dyDescent="0.25">
      <c r="A694" s="61"/>
      <c r="B694" s="51" t="s">
        <v>29</v>
      </c>
      <c r="C694" s="42"/>
      <c r="D694" s="42"/>
      <c r="E694" s="42">
        <f t="shared" si="369"/>
        <v>0</v>
      </c>
      <c r="F694" s="42">
        <f t="shared" si="370"/>
        <v>0</v>
      </c>
      <c r="G694" s="42">
        <f t="shared" si="375"/>
        <v>0</v>
      </c>
      <c r="H694" s="42"/>
      <c r="I694" s="63">
        <v>1.65</v>
      </c>
      <c r="J694" s="42"/>
      <c r="K694" s="42"/>
      <c r="L694" s="42"/>
      <c r="M694" s="42"/>
      <c r="N694" s="42"/>
      <c r="O694" s="42"/>
      <c r="P694" s="42">
        <f t="shared" si="373"/>
        <v>0</v>
      </c>
      <c r="Q694" s="58"/>
      <c r="R694" s="42">
        <f t="shared" si="374"/>
        <v>0</v>
      </c>
      <c r="S694" s="42"/>
      <c r="T694" s="169"/>
    </row>
    <row r="695" spans="1:20" ht="39" hidden="1" x14ac:dyDescent="0.25">
      <c r="A695" s="61" t="s">
        <v>60</v>
      </c>
      <c r="B695" s="51" t="s">
        <v>55</v>
      </c>
      <c r="C695" s="42"/>
      <c r="D695" s="42"/>
      <c r="E695" s="42">
        <f t="shared" si="369"/>
        <v>0</v>
      </c>
      <c r="F695" s="42">
        <f t="shared" si="370"/>
        <v>0</v>
      </c>
      <c r="G695" s="42">
        <f t="shared" si="375"/>
        <v>0</v>
      </c>
      <c r="H695" s="42"/>
      <c r="I695" s="63">
        <v>1.65</v>
      </c>
      <c r="J695" s="42"/>
      <c r="K695" s="42"/>
      <c r="L695" s="42"/>
      <c r="M695" s="42"/>
      <c r="N695" s="42"/>
      <c r="O695" s="42"/>
      <c r="P695" s="42">
        <f t="shared" si="373"/>
        <v>0</v>
      </c>
      <c r="Q695" s="58"/>
      <c r="R695" s="42">
        <f t="shared" si="374"/>
        <v>0</v>
      </c>
      <c r="S695" s="42"/>
      <c r="T695" s="169"/>
    </row>
    <row r="696" spans="1:20" hidden="1" x14ac:dyDescent="0.25">
      <c r="A696" s="61"/>
      <c r="B696" s="51" t="s">
        <v>27</v>
      </c>
      <c r="C696" s="42"/>
      <c r="D696" s="42"/>
      <c r="E696" s="42">
        <f t="shared" si="369"/>
        <v>0</v>
      </c>
      <c r="F696" s="42">
        <f t="shared" si="370"/>
        <v>0</v>
      </c>
      <c r="G696" s="42">
        <f t="shared" si="375"/>
        <v>0</v>
      </c>
      <c r="H696" s="42"/>
      <c r="I696" s="63">
        <v>1.65</v>
      </c>
      <c r="J696" s="42"/>
      <c r="K696" s="42"/>
      <c r="L696" s="42"/>
      <c r="M696" s="42"/>
      <c r="N696" s="42"/>
      <c r="O696" s="42"/>
      <c r="P696" s="42">
        <f t="shared" si="373"/>
        <v>0</v>
      </c>
      <c r="Q696" s="58"/>
      <c r="R696" s="42">
        <f t="shared" si="374"/>
        <v>0</v>
      </c>
      <c r="S696" s="42"/>
      <c r="T696" s="169"/>
    </row>
    <row r="697" spans="1:20" hidden="1" x14ac:dyDescent="0.25">
      <c r="A697" s="61"/>
      <c r="B697" s="51" t="s">
        <v>28</v>
      </c>
      <c r="C697" s="42"/>
      <c r="D697" s="42"/>
      <c r="E697" s="42">
        <f t="shared" si="369"/>
        <v>0</v>
      </c>
      <c r="F697" s="42">
        <f t="shared" si="370"/>
        <v>0</v>
      </c>
      <c r="G697" s="42">
        <f t="shared" si="375"/>
        <v>0</v>
      </c>
      <c r="H697" s="42"/>
      <c r="I697" s="63">
        <v>1.65</v>
      </c>
      <c r="J697" s="42"/>
      <c r="K697" s="42"/>
      <c r="L697" s="42"/>
      <c r="M697" s="42"/>
      <c r="N697" s="42"/>
      <c r="O697" s="42"/>
      <c r="P697" s="42">
        <f t="shared" si="373"/>
        <v>0</v>
      </c>
      <c r="Q697" s="58"/>
      <c r="R697" s="42">
        <f t="shared" si="374"/>
        <v>0</v>
      </c>
      <c r="S697" s="42"/>
      <c r="T697" s="169"/>
    </row>
    <row r="698" spans="1:20" hidden="1" x14ac:dyDescent="0.25">
      <c r="A698" s="61"/>
      <c r="B698" s="51" t="s">
        <v>29</v>
      </c>
      <c r="C698" s="42"/>
      <c r="D698" s="42"/>
      <c r="E698" s="42">
        <f t="shared" si="369"/>
        <v>0</v>
      </c>
      <c r="F698" s="42">
        <f t="shared" si="370"/>
        <v>0</v>
      </c>
      <c r="G698" s="42">
        <f t="shared" si="375"/>
        <v>0</v>
      </c>
      <c r="H698" s="42"/>
      <c r="I698" s="63">
        <v>1.65</v>
      </c>
      <c r="J698" s="42"/>
      <c r="K698" s="42"/>
      <c r="L698" s="42"/>
      <c r="M698" s="42"/>
      <c r="N698" s="42"/>
      <c r="O698" s="42"/>
      <c r="P698" s="42">
        <f t="shared" si="373"/>
        <v>0</v>
      </c>
      <c r="Q698" s="58"/>
      <c r="R698" s="42">
        <f t="shared" si="374"/>
        <v>0</v>
      </c>
      <c r="S698" s="42"/>
      <c r="T698" s="169"/>
    </row>
    <row r="699" spans="1:20" ht="39" hidden="1" x14ac:dyDescent="0.25">
      <c r="A699" s="61" t="s">
        <v>61</v>
      </c>
      <c r="B699" s="51" t="s">
        <v>56</v>
      </c>
      <c r="C699" s="42"/>
      <c r="D699" s="42"/>
      <c r="E699" s="42">
        <f t="shared" si="369"/>
        <v>0</v>
      </c>
      <c r="F699" s="42">
        <f t="shared" si="370"/>
        <v>0</v>
      </c>
      <c r="G699" s="42">
        <f t="shared" si="375"/>
        <v>0</v>
      </c>
      <c r="H699" s="42"/>
      <c r="I699" s="63">
        <v>1.65</v>
      </c>
      <c r="J699" s="42"/>
      <c r="K699" s="42"/>
      <c r="L699" s="42"/>
      <c r="M699" s="42"/>
      <c r="N699" s="42"/>
      <c r="O699" s="42"/>
      <c r="P699" s="42">
        <f t="shared" si="373"/>
        <v>0</v>
      </c>
      <c r="Q699" s="58"/>
      <c r="R699" s="42">
        <f t="shared" si="374"/>
        <v>0</v>
      </c>
      <c r="S699" s="42"/>
      <c r="T699" s="168"/>
    </row>
    <row r="700" spans="1:20" hidden="1" x14ac:dyDescent="0.25">
      <c r="A700" s="61"/>
      <c r="B700" s="51" t="s">
        <v>27</v>
      </c>
      <c r="C700" s="42"/>
      <c r="D700" s="42"/>
      <c r="E700" s="42">
        <f t="shared" si="369"/>
        <v>0</v>
      </c>
      <c r="F700" s="42">
        <f t="shared" si="370"/>
        <v>0</v>
      </c>
      <c r="G700" s="42">
        <f t="shared" si="375"/>
        <v>0</v>
      </c>
      <c r="H700" s="42"/>
      <c r="I700" s="63">
        <v>1.65</v>
      </c>
      <c r="J700" s="42"/>
      <c r="K700" s="42"/>
      <c r="L700" s="42"/>
      <c r="M700" s="42"/>
      <c r="N700" s="42"/>
      <c r="O700" s="42"/>
      <c r="P700" s="42">
        <f t="shared" si="373"/>
        <v>0</v>
      </c>
      <c r="Q700" s="58"/>
      <c r="R700" s="42">
        <f t="shared" si="374"/>
        <v>0</v>
      </c>
      <c r="S700" s="42"/>
      <c r="T700" s="168"/>
    </row>
    <row r="701" spans="1:20" hidden="1" x14ac:dyDescent="0.25">
      <c r="A701" s="61"/>
      <c r="B701" s="51" t="s">
        <v>28</v>
      </c>
      <c r="C701" s="42"/>
      <c r="D701" s="42"/>
      <c r="E701" s="42">
        <f t="shared" si="369"/>
        <v>0</v>
      </c>
      <c r="F701" s="42">
        <f t="shared" si="370"/>
        <v>0</v>
      </c>
      <c r="G701" s="42">
        <f t="shared" si="375"/>
        <v>0</v>
      </c>
      <c r="H701" s="42"/>
      <c r="I701" s="63">
        <v>1.65</v>
      </c>
      <c r="J701" s="42"/>
      <c r="K701" s="42"/>
      <c r="L701" s="42"/>
      <c r="M701" s="42"/>
      <c r="N701" s="42"/>
      <c r="O701" s="42"/>
      <c r="P701" s="42">
        <f t="shared" si="373"/>
        <v>0</v>
      </c>
      <c r="Q701" s="58"/>
      <c r="R701" s="42">
        <f t="shared" si="374"/>
        <v>0</v>
      </c>
      <c r="S701" s="42"/>
      <c r="T701" s="168"/>
    </row>
    <row r="702" spans="1:20" hidden="1" x14ac:dyDescent="0.25">
      <c r="A702" s="61"/>
      <c r="B702" s="51" t="s">
        <v>29</v>
      </c>
      <c r="C702" s="42"/>
      <c r="D702" s="42"/>
      <c r="E702" s="42">
        <f t="shared" si="369"/>
        <v>0</v>
      </c>
      <c r="F702" s="42">
        <f t="shared" si="370"/>
        <v>0</v>
      </c>
      <c r="G702" s="42">
        <f t="shared" si="375"/>
        <v>0</v>
      </c>
      <c r="H702" s="42"/>
      <c r="I702" s="63">
        <v>1.65</v>
      </c>
      <c r="J702" s="42"/>
      <c r="K702" s="42"/>
      <c r="L702" s="42"/>
      <c r="M702" s="42"/>
      <c r="N702" s="42"/>
      <c r="O702" s="42"/>
      <c r="P702" s="42">
        <f t="shared" si="373"/>
        <v>0</v>
      </c>
      <c r="Q702" s="58"/>
      <c r="R702" s="42">
        <f t="shared" si="374"/>
        <v>0</v>
      </c>
      <c r="S702" s="42"/>
      <c r="T702" s="168"/>
    </row>
    <row r="703" spans="1:20" ht="51.75" hidden="1" x14ac:dyDescent="0.25">
      <c r="A703" s="61" t="s">
        <v>62</v>
      </c>
      <c r="B703" s="51" t="s">
        <v>57</v>
      </c>
      <c r="C703" s="42"/>
      <c r="D703" s="42"/>
      <c r="E703" s="42">
        <f t="shared" si="369"/>
        <v>0</v>
      </c>
      <c r="F703" s="42">
        <f t="shared" si="370"/>
        <v>0</v>
      </c>
      <c r="G703" s="42">
        <f t="shared" si="375"/>
        <v>0</v>
      </c>
      <c r="H703" s="42"/>
      <c r="I703" s="63">
        <v>1.65</v>
      </c>
      <c r="J703" s="42"/>
      <c r="K703" s="42"/>
      <c r="L703" s="42"/>
      <c r="M703" s="42"/>
      <c r="N703" s="42"/>
      <c r="O703" s="42"/>
      <c r="P703" s="42">
        <f t="shared" si="373"/>
        <v>0</v>
      </c>
      <c r="Q703" s="58"/>
      <c r="R703" s="42">
        <f t="shared" si="374"/>
        <v>0</v>
      </c>
      <c r="S703" s="42"/>
      <c r="T703" s="168"/>
    </row>
    <row r="704" spans="1:20" hidden="1" x14ac:dyDescent="0.25">
      <c r="A704" s="61"/>
      <c r="B704" s="51" t="s">
        <v>27</v>
      </c>
      <c r="C704" s="42"/>
      <c r="D704" s="42"/>
      <c r="E704" s="42">
        <f t="shared" si="369"/>
        <v>0</v>
      </c>
      <c r="F704" s="42">
        <f t="shared" si="370"/>
        <v>0</v>
      </c>
      <c r="G704" s="42">
        <f t="shared" si="375"/>
        <v>0</v>
      </c>
      <c r="H704" s="42"/>
      <c r="I704" s="63">
        <v>1.65</v>
      </c>
      <c r="J704" s="42"/>
      <c r="K704" s="42"/>
      <c r="L704" s="42"/>
      <c r="M704" s="42"/>
      <c r="N704" s="42"/>
      <c r="O704" s="42"/>
      <c r="P704" s="42">
        <f t="shared" si="373"/>
        <v>0</v>
      </c>
      <c r="Q704" s="58"/>
      <c r="R704" s="42">
        <f t="shared" si="374"/>
        <v>0</v>
      </c>
      <c r="S704" s="42"/>
      <c r="T704" s="168"/>
    </row>
    <row r="705" spans="1:20" hidden="1" x14ac:dyDescent="0.25">
      <c r="A705" s="61"/>
      <c r="B705" s="51" t="s">
        <v>28</v>
      </c>
      <c r="C705" s="42"/>
      <c r="D705" s="42"/>
      <c r="E705" s="42">
        <f t="shared" si="369"/>
        <v>0</v>
      </c>
      <c r="F705" s="42">
        <f t="shared" si="370"/>
        <v>0</v>
      </c>
      <c r="G705" s="42">
        <f t="shared" si="375"/>
        <v>0</v>
      </c>
      <c r="H705" s="42"/>
      <c r="I705" s="63">
        <v>1.65</v>
      </c>
      <c r="J705" s="42"/>
      <c r="K705" s="42"/>
      <c r="L705" s="42"/>
      <c r="M705" s="42"/>
      <c r="N705" s="42"/>
      <c r="O705" s="42"/>
      <c r="P705" s="42">
        <f t="shared" si="373"/>
        <v>0</v>
      </c>
      <c r="Q705" s="58"/>
      <c r="R705" s="42">
        <f t="shared" si="374"/>
        <v>0</v>
      </c>
      <c r="S705" s="42"/>
      <c r="T705" s="168"/>
    </row>
    <row r="706" spans="1:20" hidden="1" x14ac:dyDescent="0.25">
      <c r="A706" s="61"/>
      <c r="B706" s="51" t="s">
        <v>29</v>
      </c>
      <c r="C706" s="42"/>
      <c r="D706" s="42"/>
      <c r="E706" s="42">
        <f t="shared" si="369"/>
        <v>0</v>
      </c>
      <c r="F706" s="42">
        <f t="shared" si="370"/>
        <v>0</v>
      </c>
      <c r="G706" s="42">
        <f t="shared" si="375"/>
        <v>0</v>
      </c>
      <c r="H706" s="42"/>
      <c r="I706" s="63">
        <v>1.65</v>
      </c>
      <c r="J706" s="42"/>
      <c r="K706" s="42"/>
      <c r="L706" s="42"/>
      <c r="M706" s="42"/>
      <c r="N706" s="42"/>
      <c r="O706" s="42"/>
      <c r="P706" s="42">
        <f t="shared" si="373"/>
        <v>0</v>
      </c>
      <c r="Q706" s="58"/>
      <c r="R706" s="42">
        <f t="shared" si="374"/>
        <v>0</v>
      </c>
      <c r="S706" s="42"/>
      <c r="T706" s="168"/>
    </row>
    <row r="707" spans="1:20" ht="51.75" hidden="1" x14ac:dyDescent="0.25">
      <c r="A707" s="61" t="s">
        <v>63</v>
      </c>
      <c r="B707" s="51" t="s">
        <v>58</v>
      </c>
      <c r="C707" s="42"/>
      <c r="D707" s="42"/>
      <c r="E707" s="42">
        <f t="shared" si="369"/>
        <v>0</v>
      </c>
      <c r="F707" s="42">
        <f t="shared" si="370"/>
        <v>0</v>
      </c>
      <c r="G707" s="42">
        <f t="shared" si="375"/>
        <v>0</v>
      </c>
      <c r="H707" s="42"/>
      <c r="I707" s="63">
        <v>1.65</v>
      </c>
      <c r="J707" s="42"/>
      <c r="K707" s="42"/>
      <c r="L707" s="42"/>
      <c r="M707" s="42"/>
      <c r="N707" s="42"/>
      <c r="O707" s="42"/>
      <c r="P707" s="42">
        <f t="shared" si="373"/>
        <v>0</v>
      </c>
      <c r="Q707" s="58"/>
      <c r="R707" s="42">
        <f t="shared" si="374"/>
        <v>0</v>
      </c>
      <c r="S707" s="42"/>
      <c r="T707" s="168"/>
    </row>
    <row r="708" spans="1:20" hidden="1" x14ac:dyDescent="0.25">
      <c r="A708" s="61"/>
      <c r="B708" s="51" t="s">
        <v>27</v>
      </c>
      <c r="C708" s="42"/>
      <c r="D708" s="42"/>
      <c r="E708" s="42">
        <f t="shared" si="369"/>
        <v>0</v>
      </c>
      <c r="F708" s="42">
        <f t="shared" si="370"/>
        <v>0</v>
      </c>
      <c r="G708" s="42">
        <f t="shared" si="375"/>
        <v>0</v>
      </c>
      <c r="H708" s="42"/>
      <c r="I708" s="63">
        <v>1.65</v>
      </c>
      <c r="J708" s="42"/>
      <c r="K708" s="42"/>
      <c r="L708" s="42"/>
      <c r="M708" s="42"/>
      <c r="N708" s="42"/>
      <c r="O708" s="42"/>
      <c r="P708" s="42">
        <f t="shared" si="373"/>
        <v>0</v>
      </c>
      <c r="Q708" s="58"/>
      <c r="R708" s="42">
        <f t="shared" si="374"/>
        <v>0</v>
      </c>
      <c r="S708" s="42"/>
      <c r="T708" s="168"/>
    </row>
    <row r="709" spans="1:20" hidden="1" x14ac:dyDescent="0.25">
      <c r="A709" s="61"/>
      <c r="B709" s="51" t="s">
        <v>28</v>
      </c>
      <c r="C709" s="42"/>
      <c r="D709" s="42"/>
      <c r="E709" s="42">
        <f t="shared" si="369"/>
        <v>0</v>
      </c>
      <c r="F709" s="42">
        <f t="shared" si="370"/>
        <v>0</v>
      </c>
      <c r="G709" s="42">
        <f t="shared" si="375"/>
        <v>0</v>
      </c>
      <c r="H709" s="42"/>
      <c r="I709" s="63">
        <v>1.65</v>
      </c>
      <c r="J709" s="42"/>
      <c r="K709" s="42"/>
      <c r="L709" s="42"/>
      <c r="M709" s="42"/>
      <c r="N709" s="42"/>
      <c r="O709" s="42"/>
      <c r="P709" s="42">
        <f t="shared" si="373"/>
        <v>0</v>
      </c>
      <c r="Q709" s="58"/>
      <c r="R709" s="42">
        <f t="shared" si="374"/>
        <v>0</v>
      </c>
      <c r="S709" s="42"/>
      <c r="T709" s="168"/>
    </row>
    <row r="710" spans="1:20" hidden="1" x14ac:dyDescent="0.25">
      <c r="A710" s="61"/>
      <c r="B710" s="51" t="s">
        <v>29</v>
      </c>
      <c r="C710" s="42"/>
      <c r="D710" s="42"/>
      <c r="E710" s="42">
        <f t="shared" si="369"/>
        <v>0</v>
      </c>
      <c r="F710" s="42">
        <f t="shared" si="370"/>
        <v>0</v>
      </c>
      <c r="G710" s="42">
        <f t="shared" si="375"/>
        <v>0</v>
      </c>
      <c r="H710" s="42"/>
      <c r="I710" s="63">
        <v>1.65</v>
      </c>
      <c r="J710" s="42"/>
      <c r="K710" s="42"/>
      <c r="L710" s="42"/>
      <c r="M710" s="42"/>
      <c r="N710" s="42"/>
      <c r="O710" s="42"/>
      <c r="P710" s="42">
        <f t="shared" si="373"/>
        <v>0</v>
      </c>
      <c r="Q710" s="58"/>
      <c r="R710" s="42">
        <f t="shared" si="374"/>
        <v>0</v>
      </c>
      <c r="S710" s="42"/>
      <c r="T710" s="168"/>
    </row>
    <row r="711" spans="1:20" ht="39" hidden="1" x14ac:dyDescent="0.25">
      <c r="A711" s="61" t="s">
        <v>64</v>
      </c>
      <c r="B711" s="51" t="s">
        <v>30</v>
      </c>
      <c r="C711" s="42"/>
      <c r="D711" s="42"/>
      <c r="E711" s="42">
        <f t="shared" si="369"/>
        <v>0</v>
      </c>
      <c r="F711" s="42">
        <f t="shared" si="370"/>
        <v>0</v>
      </c>
      <c r="G711" s="42">
        <f t="shared" si="375"/>
        <v>0</v>
      </c>
      <c r="H711" s="42"/>
      <c r="I711" s="63">
        <v>1.65</v>
      </c>
      <c r="J711" s="42"/>
      <c r="K711" s="42"/>
      <c r="L711" s="42"/>
      <c r="M711" s="42"/>
      <c r="N711" s="42"/>
      <c r="O711" s="42"/>
      <c r="P711" s="42">
        <f t="shared" si="373"/>
        <v>0</v>
      </c>
      <c r="Q711" s="58"/>
      <c r="R711" s="42">
        <f t="shared" si="374"/>
        <v>0</v>
      </c>
      <c r="S711" s="42"/>
      <c r="T711" s="168"/>
    </row>
    <row r="712" spans="1:20" hidden="1" x14ac:dyDescent="0.25">
      <c r="A712" s="61"/>
      <c r="B712" s="51" t="s">
        <v>27</v>
      </c>
      <c r="C712" s="42"/>
      <c r="D712" s="42"/>
      <c r="E712" s="42">
        <f t="shared" si="369"/>
        <v>0</v>
      </c>
      <c r="F712" s="42">
        <f t="shared" si="370"/>
        <v>0</v>
      </c>
      <c r="G712" s="42">
        <f t="shared" si="375"/>
        <v>0</v>
      </c>
      <c r="H712" s="42"/>
      <c r="I712" s="63">
        <v>1.65</v>
      </c>
      <c r="J712" s="42"/>
      <c r="K712" s="42"/>
      <c r="L712" s="42"/>
      <c r="M712" s="42"/>
      <c r="N712" s="42"/>
      <c r="O712" s="42"/>
      <c r="P712" s="42">
        <f t="shared" si="373"/>
        <v>0</v>
      </c>
      <c r="Q712" s="58"/>
      <c r="R712" s="42">
        <f t="shared" si="374"/>
        <v>0</v>
      </c>
      <c r="S712" s="42"/>
      <c r="T712" s="168"/>
    </row>
    <row r="713" spans="1:20" hidden="1" x14ac:dyDescent="0.25">
      <c r="A713" s="61"/>
      <c r="B713" s="51" t="s">
        <v>28</v>
      </c>
      <c r="C713" s="42"/>
      <c r="D713" s="42"/>
      <c r="E713" s="42">
        <f t="shared" si="369"/>
        <v>0</v>
      </c>
      <c r="F713" s="42">
        <f t="shared" si="370"/>
        <v>0</v>
      </c>
      <c r="G713" s="42">
        <f t="shared" si="375"/>
        <v>0</v>
      </c>
      <c r="H713" s="42"/>
      <c r="I713" s="63">
        <v>1.65</v>
      </c>
      <c r="J713" s="42"/>
      <c r="K713" s="42"/>
      <c r="L713" s="42"/>
      <c r="M713" s="42"/>
      <c r="N713" s="42"/>
      <c r="O713" s="42"/>
      <c r="P713" s="42">
        <f t="shared" si="373"/>
        <v>0</v>
      </c>
      <c r="Q713" s="58"/>
      <c r="R713" s="42">
        <f t="shared" si="374"/>
        <v>0</v>
      </c>
      <c r="S713" s="42"/>
      <c r="T713" s="168"/>
    </row>
    <row r="714" spans="1:20" hidden="1" x14ac:dyDescent="0.25">
      <c r="A714" s="61"/>
      <c r="B714" s="51" t="s">
        <v>29</v>
      </c>
      <c r="C714" s="42"/>
      <c r="D714" s="42"/>
      <c r="E714" s="42">
        <f t="shared" si="369"/>
        <v>0</v>
      </c>
      <c r="F714" s="42">
        <f t="shared" si="370"/>
        <v>0</v>
      </c>
      <c r="G714" s="42">
        <f t="shared" si="375"/>
        <v>0</v>
      </c>
      <c r="H714" s="42"/>
      <c r="I714" s="63">
        <v>1.65</v>
      </c>
      <c r="J714" s="42"/>
      <c r="K714" s="42"/>
      <c r="L714" s="42"/>
      <c r="M714" s="42"/>
      <c r="N714" s="42"/>
      <c r="O714" s="42"/>
      <c r="P714" s="42">
        <f t="shared" si="373"/>
        <v>0</v>
      </c>
      <c r="Q714" s="58"/>
      <c r="R714" s="42">
        <f t="shared" si="374"/>
        <v>0</v>
      </c>
      <c r="S714" s="42"/>
      <c r="T714" s="168"/>
    </row>
    <row r="715" spans="1:20" ht="39" hidden="1" x14ac:dyDescent="0.25">
      <c r="A715" s="61"/>
      <c r="B715" s="51" t="s">
        <v>9</v>
      </c>
      <c r="C715" s="42"/>
      <c r="D715" s="42"/>
      <c r="E715" s="42">
        <f t="shared" si="369"/>
        <v>0</v>
      </c>
      <c r="F715" s="42">
        <f t="shared" si="370"/>
        <v>0</v>
      </c>
      <c r="G715" s="42">
        <f t="shared" si="375"/>
        <v>0</v>
      </c>
      <c r="H715" s="42"/>
      <c r="I715" s="63">
        <v>1.65</v>
      </c>
      <c r="J715" s="42"/>
      <c r="K715" s="42"/>
      <c r="L715" s="42"/>
      <c r="M715" s="42"/>
      <c r="N715" s="42"/>
      <c r="O715" s="42"/>
      <c r="P715" s="42">
        <f t="shared" si="373"/>
        <v>0</v>
      </c>
      <c r="Q715" s="58"/>
      <c r="R715" s="42">
        <f t="shared" si="374"/>
        <v>0</v>
      </c>
      <c r="S715" s="42"/>
      <c r="T715" s="168"/>
    </row>
    <row r="716" spans="1:20" ht="39" hidden="1" x14ac:dyDescent="0.25">
      <c r="A716" s="61"/>
      <c r="B716" s="51" t="s">
        <v>11</v>
      </c>
      <c r="C716" s="42"/>
      <c r="D716" s="42"/>
      <c r="E716" s="42">
        <f t="shared" si="369"/>
        <v>0</v>
      </c>
      <c r="F716" s="42">
        <f t="shared" si="370"/>
        <v>0</v>
      </c>
      <c r="G716" s="42">
        <f t="shared" si="375"/>
        <v>0</v>
      </c>
      <c r="H716" s="42"/>
      <c r="I716" s="63">
        <v>1.65</v>
      </c>
      <c r="J716" s="42"/>
      <c r="K716" s="42"/>
      <c r="L716" s="42"/>
      <c r="M716" s="42"/>
      <c r="N716" s="42"/>
      <c r="O716" s="42"/>
      <c r="P716" s="42">
        <f t="shared" si="373"/>
        <v>0</v>
      </c>
      <c r="Q716" s="58"/>
      <c r="R716" s="42">
        <f t="shared" si="374"/>
        <v>0</v>
      </c>
      <c r="S716" s="42"/>
      <c r="T716" s="168"/>
    </row>
    <row r="717" spans="1:20" hidden="1" x14ac:dyDescent="0.25">
      <c r="A717" s="61"/>
      <c r="B717" s="51" t="s">
        <v>13</v>
      </c>
      <c r="C717" s="42"/>
      <c r="D717" s="42"/>
      <c r="E717" s="42">
        <f t="shared" si="369"/>
        <v>0</v>
      </c>
      <c r="F717" s="42">
        <f t="shared" si="370"/>
        <v>0</v>
      </c>
      <c r="G717" s="42">
        <f t="shared" si="375"/>
        <v>0</v>
      </c>
      <c r="H717" s="42"/>
      <c r="I717" s="63">
        <v>1.65</v>
      </c>
      <c r="J717" s="42"/>
      <c r="K717" s="42"/>
      <c r="L717" s="42"/>
      <c r="M717" s="42"/>
      <c r="N717" s="42"/>
      <c r="O717" s="42"/>
      <c r="P717" s="42">
        <f t="shared" si="373"/>
        <v>0</v>
      </c>
      <c r="Q717" s="58"/>
      <c r="R717" s="42">
        <f t="shared" si="374"/>
        <v>0</v>
      </c>
      <c r="S717" s="42"/>
      <c r="T717" s="168"/>
    </row>
    <row r="718" spans="1:20" hidden="1" x14ac:dyDescent="0.25">
      <c r="A718" s="61"/>
      <c r="B718" s="61" t="s">
        <v>14</v>
      </c>
      <c r="C718" s="42"/>
      <c r="D718" s="42"/>
      <c r="E718" s="42">
        <f t="shared" si="369"/>
        <v>0</v>
      </c>
      <c r="F718" s="42">
        <f t="shared" si="370"/>
        <v>0</v>
      </c>
      <c r="G718" s="42">
        <f t="shared" si="375"/>
        <v>0</v>
      </c>
      <c r="H718" s="42"/>
      <c r="I718" s="63">
        <v>1.65</v>
      </c>
      <c r="J718" s="42"/>
      <c r="K718" s="42"/>
      <c r="L718" s="42"/>
      <c r="M718" s="42"/>
      <c r="N718" s="42"/>
      <c r="O718" s="42"/>
      <c r="P718" s="42">
        <f t="shared" si="373"/>
        <v>0</v>
      </c>
      <c r="Q718" s="58"/>
      <c r="R718" s="42">
        <f t="shared" si="374"/>
        <v>0</v>
      </c>
      <c r="S718" s="42"/>
      <c r="T718" s="168"/>
    </row>
    <row r="719" spans="1:20" hidden="1" x14ac:dyDescent="0.25">
      <c r="A719" s="61"/>
      <c r="B719" s="61" t="s">
        <v>17</v>
      </c>
      <c r="C719" s="42"/>
      <c r="D719" s="42"/>
      <c r="E719" s="42">
        <f t="shared" si="369"/>
        <v>0</v>
      </c>
      <c r="F719" s="42">
        <f t="shared" si="370"/>
        <v>0</v>
      </c>
      <c r="G719" s="42">
        <f t="shared" si="375"/>
        <v>0</v>
      </c>
      <c r="H719" s="42"/>
      <c r="I719" s="63">
        <v>1.65</v>
      </c>
      <c r="J719" s="42"/>
      <c r="K719" s="42"/>
      <c r="L719" s="42"/>
      <c r="M719" s="42"/>
      <c r="N719" s="42"/>
      <c r="O719" s="42"/>
      <c r="P719" s="42">
        <f t="shared" si="373"/>
        <v>0</v>
      </c>
      <c r="Q719" s="58"/>
      <c r="R719" s="42">
        <f t="shared" si="374"/>
        <v>0</v>
      </c>
      <c r="S719" s="42"/>
      <c r="T719" s="168"/>
    </row>
    <row r="720" spans="1:20" hidden="1" x14ac:dyDescent="0.25">
      <c r="A720" s="61"/>
      <c r="B720" s="61" t="s">
        <v>14</v>
      </c>
      <c r="C720" s="42"/>
      <c r="D720" s="42"/>
      <c r="E720" s="42">
        <f t="shared" si="369"/>
        <v>0</v>
      </c>
      <c r="F720" s="42">
        <f t="shared" si="370"/>
        <v>0</v>
      </c>
      <c r="G720" s="42">
        <f t="shared" si="375"/>
        <v>0</v>
      </c>
      <c r="H720" s="42"/>
      <c r="I720" s="63">
        <v>1.65</v>
      </c>
      <c r="J720" s="42"/>
      <c r="K720" s="42"/>
      <c r="L720" s="42"/>
      <c r="M720" s="42"/>
      <c r="N720" s="42"/>
      <c r="O720" s="42"/>
      <c r="P720" s="42">
        <f t="shared" si="373"/>
        <v>0</v>
      </c>
      <c r="Q720" s="58"/>
      <c r="R720" s="42">
        <f t="shared" si="374"/>
        <v>0</v>
      </c>
      <c r="S720" s="42"/>
      <c r="T720" s="168"/>
    </row>
    <row r="721" spans="1:23" x14ac:dyDescent="0.25">
      <c r="A721" s="65"/>
      <c r="B721" s="51" t="s">
        <v>13</v>
      </c>
      <c r="C721" s="42">
        <v>52</v>
      </c>
      <c r="D721" s="42"/>
      <c r="E721" s="42"/>
      <c r="F721" s="42"/>
      <c r="G721" s="42"/>
      <c r="H721" s="42"/>
      <c r="I721" s="42"/>
      <c r="J721" s="42"/>
      <c r="K721" s="42"/>
      <c r="L721" s="63">
        <v>4769.12</v>
      </c>
      <c r="M721" s="63">
        <v>1.45</v>
      </c>
      <c r="N721" s="42">
        <f t="shared" ref="N721" si="378">L721*M721</f>
        <v>6915.2239999999993</v>
      </c>
      <c r="O721" s="42">
        <f t="shared" ref="O721" si="379">ROUND(C721*N721,0)</f>
        <v>359592</v>
      </c>
      <c r="P721" s="42">
        <f t="shared" si="373"/>
        <v>6915.2239999999993</v>
      </c>
      <c r="Q721" s="58"/>
      <c r="R721" s="42">
        <f t="shared" si="374"/>
        <v>359592</v>
      </c>
      <c r="S721" s="42"/>
      <c r="T721" s="168"/>
    </row>
    <row r="722" spans="1:23" s="60" customFormat="1" hidden="1" x14ac:dyDescent="0.25">
      <c r="A722" s="56"/>
      <c r="B722" s="51" t="s">
        <v>27</v>
      </c>
      <c r="C722" s="58"/>
      <c r="D722" s="58"/>
      <c r="E722" s="58"/>
      <c r="F722" s="42"/>
      <c r="G722" s="58"/>
      <c r="H722" s="58"/>
      <c r="I722" s="58"/>
      <c r="J722" s="58"/>
      <c r="K722" s="42"/>
      <c r="L722" s="58"/>
      <c r="M722" s="42"/>
      <c r="N722" s="58"/>
      <c r="O722" s="42"/>
      <c r="P722" s="42"/>
      <c r="Q722" s="58"/>
      <c r="R722" s="42"/>
      <c r="S722" s="58"/>
      <c r="T722" s="168"/>
      <c r="U722" s="68"/>
      <c r="V722" s="66"/>
      <c r="W722" s="66"/>
    </row>
    <row r="723" spans="1:23" hidden="1" x14ac:dyDescent="0.25">
      <c r="A723" s="61"/>
      <c r="B723" s="51" t="s">
        <v>28</v>
      </c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58"/>
      <c r="R723" s="42"/>
      <c r="S723" s="42"/>
      <c r="T723" s="168"/>
    </row>
    <row r="724" spans="1:23" hidden="1" x14ac:dyDescent="0.25">
      <c r="A724" s="61"/>
      <c r="B724" s="51" t="s">
        <v>29</v>
      </c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58"/>
      <c r="R724" s="42"/>
      <c r="S724" s="42"/>
      <c r="T724" s="168"/>
    </row>
    <row r="725" spans="1:23" s="66" customFormat="1" x14ac:dyDescent="0.25">
      <c r="A725" s="99"/>
      <c r="B725" s="100" t="s">
        <v>78</v>
      </c>
      <c r="C725" s="101">
        <f>C610+C611+C612+C662+C663</f>
        <v>52</v>
      </c>
      <c r="D725" s="101"/>
      <c r="E725" s="101">
        <f>E610+E611+E612+E662+E663+E721</f>
        <v>2506000</v>
      </c>
      <c r="F725" s="101"/>
      <c r="G725" s="101">
        <f>G610+G611+G612+G662+G663+G721</f>
        <v>878000</v>
      </c>
      <c r="H725" s="101"/>
      <c r="I725" s="101"/>
      <c r="J725" s="101"/>
      <c r="K725" s="101">
        <f>K610+K611+K612+K662+K663+K721</f>
        <v>1905408</v>
      </c>
      <c r="L725" s="101"/>
      <c r="M725" s="101"/>
      <c r="N725" s="101"/>
      <c r="O725" s="101">
        <f>O610+O611+O612+O662+O663+O721</f>
        <v>359592</v>
      </c>
      <c r="P725" s="48"/>
      <c r="Q725" s="75"/>
      <c r="R725" s="101">
        <f>R610+R611+R612+R662+R663+R721</f>
        <v>5649000</v>
      </c>
      <c r="S725" s="101">
        <v>72000</v>
      </c>
      <c r="T725" s="101">
        <f>R725+S725</f>
        <v>5721000</v>
      </c>
      <c r="U725" s="102"/>
      <c r="V725" s="180"/>
    </row>
    <row r="726" spans="1:23" s="60" customFormat="1" x14ac:dyDescent="0.25">
      <c r="A726" s="56">
        <v>24</v>
      </c>
      <c r="B726" s="8" t="s">
        <v>79</v>
      </c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42"/>
      <c r="Q726" s="58"/>
      <c r="R726" s="58"/>
      <c r="S726" s="58"/>
      <c r="T726" s="168"/>
      <c r="U726" s="68"/>
      <c r="V726" s="66"/>
      <c r="W726" s="66"/>
    </row>
    <row r="727" spans="1:23" ht="51.75" x14ac:dyDescent="0.25">
      <c r="A727" s="61" t="s">
        <v>244</v>
      </c>
      <c r="B727" s="51" t="s">
        <v>312</v>
      </c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58"/>
      <c r="R727" s="42"/>
      <c r="S727" s="42"/>
      <c r="T727" s="168"/>
    </row>
    <row r="728" spans="1:23" x14ac:dyDescent="0.25">
      <c r="A728" s="61"/>
      <c r="B728" s="51" t="s">
        <v>287</v>
      </c>
      <c r="C728" s="42">
        <v>12</v>
      </c>
      <c r="D728" s="42">
        <v>74111</v>
      </c>
      <c r="E728" s="42">
        <f>C728*D728+24788</f>
        <v>914120</v>
      </c>
      <c r="F728" s="42">
        <f t="shared" ref="F728:F791" si="380">ROUND(D728*35.4%,0)</f>
        <v>26235</v>
      </c>
      <c r="G728" s="42">
        <f>C728*F728-5101</f>
        <v>309719</v>
      </c>
      <c r="H728" s="63">
        <v>17881.599999999999</v>
      </c>
      <c r="I728" s="63">
        <v>2.1419999999999999</v>
      </c>
      <c r="J728" s="42">
        <f t="shared" ref="J728" si="381">H728*I728</f>
        <v>38302.387199999997</v>
      </c>
      <c r="K728" s="42">
        <f>ROUND(C728*J728,0)+945</f>
        <v>460574</v>
      </c>
      <c r="L728" s="42"/>
      <c r="M728" s="42"/>
      <c r="N728" s="42"/>
      <c r="O728" s="42"/>
      <c r="P728" s="42">
        <f t="shared" ref="P728:P730" si="382">D728+F728+J728+N728</f>
        <v>138648.3872</v>
      </c>
      <c r="Q728" s="58"/>
      <c r="R728" s="42">
        <f t="shared" ref="R728:R730" si="383">E728+G728+K728+O728</f>
        <v>1684413</v>
      </c>
      <c r="S728" s="42"/>
      <c r="T728" s="168"/>
    </row>
    <row r="729" spans="1:23" x14ac:dyDescent="0.25">
      <c r="A729" s="61"/>
      <c r="B729" s="51" t="s">
        <v>28</v>
      </c>
      <c r="C729" s="42">
        <v>20</v>
      </c>
      <c r="D729" s="42">
        <v>44466</v>
      </c>
      <c r="E729" s="42">
        <f t="shared" ref="E729:E730" si="384">C729*D729</f>
        <v>889320</v>
      </c>
      <c r="F729" s="42">
        <f t="shared" si="380"/>
        <v>15741</v>
      </c>
      <c r="G729" s="42">
        <f t="shared" ref="G729:G730" si="385">C729*F729</f>
        <v>314820</v>
      </c>
      <c r="H729" s="63">
        <v>17881.599999999999</v>
      </c>
      <c r="I729" s="63">
        <v>2.1419999999999999</v>
      </c>
      <c r="J729" s="42">
        <f t="shared" ref="J729:J792" si="386">H729*I729</f>
        <v>38302.387199999997</v>
      </c>
      <c r="K729" s="42">
        <f t="shared" ref="K729:K792" si="387">ROUND(C729*J729,0)</f>
        <v>766048</v>
      </c>
      <c r="L729" s="42"/>
      <c r="M729" s="42"/>
      <c r="N729" s="42"/>
      <c r="O729" s="42"/>
      <c r="P729" s="42">
        <f t="shared" si="382"/>
        <v>98509.387199999997</v>
      </c>
      <c r="Q729" s="58"/>
      <c r="R729" s="42">
        <f t="shared" si="383"/>
        <v>1970188</v>
      </c>
      <c r="S729" s="42"/>
      <c r="T729" s="168"/>
    </row>
    <row r="730" spans="1:23" x14ac:dyDescent="0.25">
      <c r="A730" s="61"/>
      <c r="B730" s="51" t="s">
        <v>289</v>
      </c>
      <c r="C730" s="42">
        <v>3</v>
      </c>
      <c r="D730" s="42">
        <v>44466</v>
      </c>
      <c r="E730" s="42">
        <f t="shared" si="384"/>
        <v>133398</v>
      </c>
      <c r="F730" s="42">
        <f t="shared" si="380"/>
        <v>15741</v>
      </c>
      <c r="G730" s="42">
        <f t="shared" si="385"/>
        <v>47223</v>
      </c>
      <c r="H730" s="63">
        <v>17881.599999999999</v>
      </c>
      <c r="I730" s="63">
        <v>2.1419999999999999</v>
      </c>
      <c r="J730" s="42">
        <f t="shared" si="386"/>
        <v>38302.387199999997</v>
      </c>
      <c r="K730" s="42">
        <f t="shared" si="387"/>
        <v>114907</v>
      </c>
      <c r="L730" s="42"/>
      <c r="M730" s="42"/>
      <c r="N730" s="42"/>
      <c r="O730" s="42"/>
      <c r="P730" s="42">
        <f t="shared" si="382"/>
        <v>98509.387199999997</v>
      </c>
      <c r="Q730" s="58"/>
      <c r="R730" s="42">
        <f t="shared" si="383"/>
        <v>295528</v>
      </c>
      <c r="S730" s="42"/>
      <c r="T730" s="168"/>
    </row>
    <row r="731" spans="1:23" ht="39" hidden="1" x14ac:dyDescent="0.25">
      <c r="A731" s="61" t="s">
        <v>59</v>
      </c>
      <c r="B731" s="51" t="s">
        <v>68</v>
      </c>
      <c r="C731" s="42"/>
      <c r="D731" s="42"/>
      <c r="E731" s="42"/>
      <c r="F731" s="42">
        <f t="shared" si="380"/>
        <v>0</v>
      </c>
      <c r="G731" s="42"/>
      <c r="H731" s="63">
        <v>16409.580000000002</v>
      </c>
      <c r="I731" s="63">
        <v>2.1419999999999999</v>
      </c>
      <c r="J731" s="42">
        <f t="shared" si="386"/>
        <v>35149.320360000005</v>
      </c>
      <c r="K731" s="42">
        <f t="shared" si="387"/>
        <v>0</v>
      </c>
      <c r="L731" s="42"/>
      <c r="M731" s="42"/>
      <c r="N731" s="42"/>
      <c r="O731" s="42"/>
      <c r="P731" s="42"/>
      <c r="Q731" s="58"/>
      <c r="R731" s="42"/>
      <c r="S731" s="42"/>
      <c r="T731" s="168"/>
    </row>
    <row r="732" spans="1:23" hidden="1" x14ac:dyDescent="0.25">
      <c r="A732" s="61"/>
      <c r="B732" s="51" t="s">
        <v>27</v>
      </c>
      <c r="C732" s="42"/>
      <c r="D732" s="42"/>
      <c r="E732" s="42"/>
      <c r="F732" s="42">
        <f t="shared" si="380"/>
        <v>0</v>
      </c>
      <c r="G732" s="42"/>
      <c r="H732" s="63">
        <v>16409.580000000002</v>
      </c>
      <c r="I732" s="63">
        <v>2.1419999999999999</v>
      </c>
      <c r="J732" s="42">
        <f t="shared" si="386"/>
        <v>35149.320360000005</v>
      </c>
      <c r="K732" s="42">
        <f t="shared" si="387"/>
        <v>0</v>
      </c>
      <c r="L732" s="42"/>
      <c r="M732" s="42"/>
      <c r="N732" s="42"/>
      <c r="O732" s="42"/>
      <c r="P732" s="42"/>
      <c r="Q732" s="58"/>
      <c r="R732" s="42"/>
      <c r="S732" s="42"/>
      <c r="T732" s="168"/>
    </row>
    <row r="733" spans="1:23" hidden="1" x14ac:dyDescent="0.25">
      <c r="A733" s="61"/>
      <c r="B733" s="51" t="s">
        <v>28</v>
      </c>
      <c r="C733" s="42"/>
      <c r="D733" s="42"/>
      <c r="E733" s="42"/>
      <c r="F733" s="42">
        <f t="shared" si="380"/>
        <v>0</v>
      </c>
      <c r="G733" s="42"/>
      <c r="H733" s="63">
        <v>16409.580000000002</v>
      </c>
      <c r="I733" s="63">
        <v>2.1419999999999999</v>
      </c>
      <c r="J733" s="42">
        <f t="shared" si="386"/>
        <v>35149.320360000005</v>
      </c>
      <c r="K733" s="42">
        <f t="shared" si="387"/>
        <v>0</v>
      </c>
      <c r="L733" s="42"/>
      <c r="M733" s="42"/>
      <c r="N733" s="42"/>
      <c r="O733" s="42"/>
      <c r="P733" s="42"/>
      <c r="Q733" s="58"/>
      <c r="R733" s="42"/>
      <c r="S733" s="42"/>
      <c r="T733" s="168"/>
    </row>
    <row r="734" spans="1:23" hidden="1" x14ac:dyDescent="0.25">
      <c r="A734" s="61"/>
      <c r="B734" s="51" t="s">
        <v>29</v>
      </c>
      <c r="C734" s="42"/>
      <c r="D734" s="42"/>
      <c r="E734" s="42"/>
      <c r="F734" s="42">
        <f t="shared" si="380"/>
        <v>0</v>
      </c>
      <c r="G734" s="42"/>
      <c r="H734" s="63">
        <v>16409.580000000002</v>
      </c>
      <c r="I734" s="63">
        <v>2.1419999999999999</v>
      </c>
      <c r="J734" s="42">
        <f t="shared" si="386"/>
        <v>35149.320360000005</v>
      </c>
      <c r="K734" s="42">
        <f t="shared" si="387"/>
        <v>0</v>
      </c>
      <c r="L734" s="42"/>
      <c r="M734" s="42"/>
      <c r="N734" s="42"/>
      <c r="O734" s="42"/>
      <c r="P734" s="42"/>
      <c r="Q734" s="58"/>
      <c r="R734" s="42"/>
      <c r="S734" s="42"/>
      <c r="T734" s="168"/>
    </row>
    <row r="735" spans="1:23" ht="39" hidden="1" x14ac:dyDescent="0.25">
      <c r="A735" s="61" t="s">
        <v>60</v>
      </c>
      <c r="B735" s="51" t="s">
        <v>55</v>
      </c>
      <c r="C735" s="42"/>
      <c r="D735" s="42"/>
      <c r="E735" s="42"/>
      <c r="F735" s="42">
        <f t="shared" si="380"/>
        <v>0</v>
      </c>
      <c r="G735" s="42"/>
      <c r="H735" s="63">
        <v>16409.580000000002</v>
      </c>
      <c r="I735" s="63">
        <v>2.1419999999999999</v>
      </c>
      <c r="J735" s="42">
        <f t="shared" si="386"/>
        <v>35149.320360000005</v>
      </c>
      <c r="K735" s="42">
        <f t="shared" si="387"/>
        <v>0</v>
      </c>
      <c r="L735" s="42"/>
      <c r="M735" s="42"/>
      <c r="N735" s="42"/>
      <c r="O735" s="42"/>
      <c r="P735" s="42"/>
      <c r="Q735" s="58"/>
      <c r="R735" s="42"/>
      <c r="S735" s="42"/>
      <c r="T735" s="168"/>
    </row>
    <row r="736" spans="1:23" hidden="1" x14ac:dyDescent="0.25">
      <c r="A736" s="61"/>
      <c r="B736" s="51" t="s">
        <v>27</v>
      </c>
      <c r="C736" s="42"/>
      <c r="D736" s="42"/>
      <c r="E736" s="42"/>
      <c r="F736" s="42">
        <f t="shared" si="380"/>
        <v>0</v>
      </c>
      <c r="G736" s="42"/>
      <c r="H736" s="63">
        <v>16409.580000000002</v>
      </c>
      <c r="I736" s="63">
        <v>2.1419999999999999</v>
      </c>
      <c r="J736" s="42">
        <f t="shared" si="386"/>
        <v>35149.320360000005</v>
      </c>
      <c r="K736" s="42">
        <f t="shared" si="387"/>
        <v>0</v>
      </c>
      <c r="L736" s="42"/>
      <c r="M736" s="42"/>
      <c r="N736" s="42"/>
      <c r="O736" s="42"/>
      <c r="P736" s="42"/>
      <c r="Q736" s="58"/>
      <c r="R736" s="42"/>
      <c r="S736" s="42"/>
      <c r="T736" s="168"/>
    </row>
    <row r="737" spans="1:20" hidden="1" x14ac:dyDescent="0.25">
      <c r="A737" s="61"/>
      <c r="B737" s="51" t="s">
        <v>28</v>
      </c>
      <c r="C737" s="42"/>
      <c r="D737" s="42"/>
      <c r="E737" s="42"/>
      <c r="F737" s="42">
        <f t="shared" si="380"/>
        <v>0</v>
      </c>
      <c r="G737" s="42"/>
      <c r="H737" s="63">
        <v>16409.580000000002</v>
      </c>
      <c r="I737" s="63">
        <v>2.1419999999999999</v>
      </c>
      <c r="J737" s="42">
        <f t="shared" si="386"/>
        <v>35149.320360000005</v>
      </c>
      <c r="K737" s="42">
        <f t="shared" si="387"/>
        <v>0</v>
      </c>
      <c r="L737" s="42"/>
      <c r="M737" s="42"/>
      <c r="N737" s="42"/>
      <c r="O737" s="42"/>
      <c r="P737" s="42"/>
      <c r="Q737" s="58"/>
      <c r="R737" s="42"/>
      <c r="S737" s="42"/>
      <c r="T737" s="168"/>
    </row>
    <row r="738" spans="1:20" hidden="1" x14ac:dyDescent="0.25">
      <c r="A738" s="61"/>
      <c r="B738" s="51" t="s">
        <v>29</v>
      </c>
      <c r="C738" s="42"/>
      <c r="D738" s="42"/>
      <c r="E738" s="42"/>
      <c r="F738" s="42">
        <f t="shared" si="380"/>
        <v>0</v>
      </c>
      <c r="G738" s="42"/>
      <c r="H738" s="63">
        <v>16409.580000000002</v>
      </c>
      <c r="I738" s="63">
        <v>2.1419999999999999</v>
      </c>
      <c r="J738" s="42">
        <f t="shared" si="386"/>
        <v>35149.320360000005</v>
      </c>
      <c r="K738" s="42">
        <f t="shared" si="387"/>
        <v>0</v>
      </c>
      <c r="L738" s="42"/>
      <c r="M738" s="42"/>
      <c r="N738" s="42"/>
      <c r="O738" s="42"/>
      <c r="P738" s="42"/>
      <c r="Q738" s="58"/>
      <c r="R738" s="42"/>
      <c r="S738" s="42"/>
      <c r="T738" s="168"/>
    </row>
    <row r="739" spans="1:20" ht="39" hidden="1" x14ac:dyDescent="0.25">
      <c r="A739" s="61" t="s">
        <v>61</v>
      </c>
      <c r="B739" s="51" t="s">
        <v>56</v>
      </c>
      <c r="C739" s="42"/>
      <c r="D739" s="42"/>
      <c r="E739" s="42"/>
      <c r="F739" s="42">
        <f t="shared" si="380"/>
        <v>0</v>
      </c>
      <c r="G739" s="42"/>
      <c r="H739" s="63">
        <v>16409.580000000002</v>
      </c>
      <c r="I739" s="63">
        <v>2.1419999999999999</v>
      </c>
      <c r="J739" s="42">
        <f t="shared" si="386"/>
        <v>35149.320360000005</v>
      </c>
      <c r="K739" s="42">
        <f t="shared" si="387"/>
        <v>0</v>
      </c>
      <c r="L739" s="42"/>
      <c r="M739" s="42"/>
      <c r="N739" s="42"/>
      <c r="O739" s="42"/>
      <c r="P739" s="42"/>
      <c r="Q739" s="58"/>
      <c r="R739" s="42"/>
      <c r="S739" s="42"/>
      <c r="T739" s="168"/>
    </row>
    <row r="740" spans="1:20" hidden="1" x14ac:dyDescent="0.25">
      <c r="A740" s="61"/>
      <c r="B740" s="51" t="s">
        <v>27</v>
      </c>
      <c r="C740" s="42"/>
      <c r="D740" s="42"/>
      <c r="E740" s="42"/>
      <c r="F740" s="42">
        <f t="shared" si="380"/>
        <v>0</v>
      </c>
      <c r="G740" s="42"/>
      <c r="H740" s="63">
        <v>16409.580000000002</v>
      </c>
      <c r="I740" s="63">
        <v>2.1419999999999999</v>
      </c>
      <c r="J740" s="42">
        <f t="shared" si="386"/>
        <v>35149.320360000005</v>
      </c>
      <c r="K740" s="42">
        <f t="shared" si="387"/>
        <v>0</v>
      </c>
      <c r="L740" s="42"/>
      <c r="M740" s="42"/>
      <c r="N740" s="42"/>
      <c r="O740" s="42"/>
      <c r="P740" s="42"/>
      <c r="Q740" s="58"/>
      <c r="R740" s="42"/>
      <c r="S740" s="42"/>
      <c r="T740" s="168"/>
    </row>
    <row r="741" spans="1:20" hidden="1" x14ac:dyDescent="0.25">
      <c r="A741" s="61"/>
      <c r="B741" s="51" t="s">
        <v>28</v>
      </c>
      <c r="C741" s="42"/>
      <c r="D741" s="42"/>
      <c r="E741" s="42"/>
      <c r="F741" s="42">
        <f t="shared" si="380"/>
        <v>0</v>
      </c>
      <c r="G741" s="42"/>
      <c r="H741" s="63">
        <v>16409.580000000002</v>
      </c>
      <c r="I741" s="63">
        <v>2.1419999999999999</v>
      </c>
      <c r="J741" s="42">
        <f t="shared" si="386"/>
        <v>35149.320360000005</v>
      </c>
      <c r="K741" s="42">
        <f t="shared" si="387"/>
        <v>0</v>
      </c>
      <c r="L741" s="42"/>
      <c r="M741" s="42"/>
      <c r="N741" s="42"/>
      <c r="O741" s="42"/>
      <c r="P741" s="42"/>
      <c r="Q741" s="58"/>
      <c r="R741" s="42"/>
      <c r="S741" s="42"/>
      <c r="T741" s="168"/>
    </row>
    <row r="742" spans="1:20" hidden="1" x14ac:dyDescent="0.25">
      <c r="A742" s="61"/>
      <c r="B742" s="51" t="s">
        <v>29</v>
      </c>
      <c r="C742" s="42"/>
      <c r="D742" s="42"/>
      <c r="E742" s="42"/>
      <c r="F742" s="42">
        <f t="shared" si="380"/>
        <v>0</v>
      </c>
      <c r="G742" s="42"/>
      <c r="H742" s="63">
        <v>16409.580000000002</v>
      </c>
      <c r="I742" s="63">
        <v>2.1419999999999999</v>
      </c>
      <c r="J742" s="42">
        <f t="shared" si="386"/>
        <v>35149.320360000005</v>
      </c>
      <c r="K742" s="42">
        <f t="shared" si="387"/>
        <v>0</v>
      </c>
      <c r="L742" s="42"/>
      <c r="M742" s="42"/>
      <c r="N742" s="42"/>
      <c r="O742" s="42"/>
      <c r="P742" s="42"/>
      <c r="Q742" s="58"/>
      <c r="R742" s="42"/>
      <c r="S742" s="42"/>
      <c r="T742" s="168"/>
    </row>
    <row r="743" spans="1:20" ht="51.75" hidden="1" x14ac:dyDescent="0.25">
      <c r="A743" s="61" t="s">
        <v>62</v>
      </c>
      <c r="B743" s="51" t="s">
        <v>57</v>
      </c>
      <c r="C743" s="42"/>
      <c r="D743" s="42"/>
      <c r="E743" s="42"/>
      <c r="F743" s="42">
        <f t="shared" si="380"/>
        <v>0</v>
      </c>
      <c r="G743" s="42"/>
      <c r="H743" s="63">
        <v>16409.580000000002</v>
      </c>
      <c r="I743" s="63">
        <v>2.1419999999999999</v>
      </c>
      <c r="J743" s="42">
        <f t="shared" si="386"/>
        <v>35149.320360000005</v>
      </c>
      <c r="K743" s="42">
        <f t="shared" si="387"/>
        <v>0</v>
      </c>
      <c r="L743" s="42"/>
      <c r="M743" s="42"/>
      <c r="N743" s="42"/>
      <c r="O743" s="42"/>
      <c r="P743" s="42"/>
      <c r="Q743" s="58"/>
      <c r="R743" s="42"/>
      <c r="S743" s="42"/>
      <c r="T743" s="168"/>
    </row>
    <row r="744" spans="1:20" hidden="1" x14ac:dyDescent="0.25">
      <c r="A744" s="61"/>
      <c r="B744" s="51" t="s">
        <v>27</v>
      </c>
      <c r="C744" s="42"/>
      <c r="D744" s="42"/>
      <c r="E744" s="42"/>
      <c r="F744" s="42">
        <f t="shared" si="380"/>
        <v>0</v>
      </c>
      <c r="G744" s="42"/>
      <c r="H744" s="63">
        <v>16409.580000000002</v>
      </c>
      <c r="I744" s="63">
        <v>2.1419999999999999</v>
      </c>
      <c r="J744" s="42">
        <f t="shared" si="386"/>
        <v>35149.320360000005</v>
      </c>
      <c r="K744" s="42">
        <f t="shared" si="387"/>
        <v>0</v>
      </c>
      <c r="L744" s="42"/>
      <c r="M744" s="42"/>
      <c r="N744" s="42"/>
      <c r="O744" s="42"/>
      <c r="P744" s="42"/>
      <c r="Q744" s="58"/>
      <c r="R744" s="42"/>
      <c r="S744" s="42"/>
      <c r="T744" s="168"/>
    </row>
    <row r="745" spans="1:20" hidden="1" x14ac:dyDescent="0.25">
      <c r="A745" s="61"/>
      <c r="B745" s="51" t="s">
        <v>28</v>
      </c>
      <c r="C745" s="42"/>
      <c r="D745" s="42"/>
      <c r="E745" s="42"/>
      <c r="F745" s="42">
        <f t="shared" si="380"/>
        <v>0</v>
      </c>
      <c r="G745" s="42"/>
      <c r="H745" s="63">
        <v>16409.580000000002</v>
      </c>
      <c r="I745" s="63">
        <v>2.1419999999999999</v>
      </c>
      <c r="J745" s="42">
        <f t="shared" si="386"/>
        <v>35149.320360000005</v>
      </c>
      <c r="K745" s="42">
        <f t="shared" si="387"/>
        <v>0</v>
      </c>
      <c r="L745" s="42"/>
      <c r="M745" s="42"/>
      <c r="N745" s="42"/>
      <c r="O745" s="42"/>
      <c r="P745" s="42"/>
      <c r="Q745" s="58"/>
      <c r="R745" s="42"/>
      <c r="S745" s="42"/>
      <c r="T745" s="168"/>
    </row>
    <row r="746" spans="1:20" hidden="1" x14ac:dyDescent="0.25">
      <c r="A746" s="61"/>
      <c r="B746" s="51" t="s">
        <v>29</v>
      </c>
      <c r="C746" s="42"/>
      <c r="D746" s="42"/>
      <c r="E746" s="42"/>
      <c r="F746" s="42">
        <f t="shared" si="380"/>
        <v>0</v>
      </c>
      <c r="G746" s="42"/>
      <c r="H746" s="63">
        <v>16409.580000000002</v>
      </c>
      <c r="I746" s="63">
        <v>2.1419999999999999</v>
      </c>
      <c r="J746" s="42">
        <f t="shared" si="386"/>
        <v>35149.320360000005</v>
      </c>
      <c r="K746" s="42">
        <f t="shared" si="387"/>
        <v>0</v>
      </c>
      <c r="L746" s="42"/>
      <c r="M746" s="42"/>
      <c r="N746" s="42"/>
      <c r="O746" s="42"/>
      <c r="P746" s="42"/>
      <c r="Q746" s="58"/>
      <c r="R746" s="42"/>
      <c r="S746" s="42"/>
      <c r="T746" s="168"/>
    </row>
    <row r="747" spans="1:20" ht="51.75" hidden="1" x14ac:dyDescent="0.25">
      <c r="A747" s="61" t="s">
        <v>63</v>
      </c>
      <c r="B747" s="51" t="s">
        <v>58</v>
      </c>
      <c r="C747" s="42"/>
      <c r="D747" s="42"/>
      <c r="E747" s="42"/>
      <c r="F747" s="42">
        <f t="shared" si="380"/>
        <v>0</v>
      </c>
      <c r="G747" s="42"/>
      <c r="H747" s="63">
        <v>16409.580000000002</v>
      </c>
      <c r="I747" s="63">
        <v>2.1419999999999999</v>
      </c>
      <c r="J747" s="42">
        <f t="shared" si="386"/>
        <v>35149.320360000005</v>
      </c>
      <c r="K747" s="42">
        <f t="shared" si="387"/>
        <v>0</v>
      </c>
      <c r="L747" s="42"/>
      <c r="M747" s="42"/>
      <c r="N747" s="42"/>
      <c r="O747" s="42"/>
      <c r="P747" s="42"/>
      <c r="Q747" s="58"/>
      <c r="R747" s="42"/>
      <c r="S747" s="42"/>
      <c r="T747" s="168"/>
    </row>
    <row r="748" spans="1:20" hidden="1" x14ac:dyDescent="0.25">
      <c r="A748" s="61"/>
      <c r="B748" s="51" t="s">
        <v>27</v>
      </c>
      <c r="C748" s="42"/>
      <c r="D748" s="42"/>
      <c r="E748" s="42"/>
      <c r="F748" s="42">
        <f t="shared" si="380"/>
        <v>0</v>
      </c>
      <c r="G748" s="42"/>
      <c r="H748" s="63">
        <v>16409.580000000002</v>
      </c>
      <c r="I748" s="63">
        <v>2.1419999999999999</v>
      </c>
      <c r="J748" s="42">
        <f t="shared" si="386"/>
        <v>35149.320360000005</v>
      </c>
      <c r="K748" s="42">
        <f t="shared" si="387"/>
        <v>0</v>
      </c>
      <c r="L748" s="42"/>
      <c r="M748" s="42"/>
      <c r="N748" s="42"/>
      <c r="O748" s="42"/>
      <c r="P748" s="42"/>
      <c r="Q748" s="58"/>
      <c r="R748" s="42"/>
      <c r="S748" s="42"/>
      <c r="T748" s="168"/>
    </row>
    <row r="749" spans="1:20" hidden="1" x14ac:dyDescent="0.25">
      <c r="A749" s="61"/>
      <c r="B749" s="51" t="s">
        <v>28</v>
      </c>
      <c r="C749" s="42"/>
      <c r="D749" s="42"/>
      <c r="E749" s="42"/>
      <c r="F749" s="42">
        <f t="shared" si="380"/>
        <v>0</v>
      </c>
      <c r="G749" s="42"/>
      <c r="H749" s="63">
        <v>16409.580000000002</v>
      </c>
      <c r="I749" s="63">
        <v>2.1419999999999999</v>
      </c>
      <c r="J749" s="42">
        <f t="shared" si="386"/>
        <v>35149.320360000005</v>
      </c>
      <c r="K749" s="42">
        <f t="shared" si="387"/>
        <v>0</v>
      </c>
      <c r="L749" s="42"/>
      <c r="M749" s="42"/>
      <c r="N749" s="42"/>
      <c r="O749" s="42"/>
      <c r="P749" s="42"/>
      <c r="Q749" s="58"/>
      <c r="R749" s="42"/>
      <c r="S749" s="42"/>
      <c r="T749" s="168"/>
    </row>
    <row r="750" spans="1:20" hidden="1" x14ac:dyDescent="0.25">
      <c r="A750" s="61"/>
      <c r="B750" s="51" t="s">
        <v>29</v>
      </c>
      <c r="C750" s="42"/>
      <c r="D750" s="42"/>
      <c r="E750" s="42"/>
      <c r="F750" s="42">
        <f t="shared" si="380"/>
        <v>0</v>
      </c>
      <c r="G750" s="42"/>
      <c r="H750" s="63">
        <v>16409.580000000002</v>
      </c>
      <c r="I750" s="63">
        <v>2.1419999999999999</v>
      </c>
      <c r="J750" s="42">
        <f t="shared" si="386"/>
        <v>35149.320360000005</v>
      </c>
      <c r="K750" s="42">
        <f t="shared" si="387"/>
        <v>0</v>
      </c>
      <c r="L750" s="42"/>
      <c r="M750" s="42"/>
      <c r="N750" s="42"/>
      <c r="O750" s="42"/>
      <c r="P750" s="42"/>
      <c r="Q750" s="58"/>
      <c r="R750" s="42"/>
      <c r="S750" s="42"/>
      <c r="T750" s="168"/>
    </row>
    <row r="751" spans="1:20" ht="39" hidden="1" x14ac:dyDescent="0.25">
      <c r="A751" s="61" t="s">
        <v>64</v>
      </c>
      <c r="B751" s="51" t="s">
        <v>30</v>
      </c>
      <c r="C751" s="42"/>
      <c r="D751" s="42"/>
      <c r="E751" s="42"/>
      <c r="F751" s="42">
        <f t="shared" si="380"/>
        <v>0</v>
      </c>
      <c r="G751" s="42"/>
      <c r="H751" s="63">
        <v>16409.580000000002</v>
      </c>
      <c r="I751" s="63">
        <v>2.1419999999999999</v>
      </c>
      <c r="J751" s="42">
        <f t="shared" si="386"/>
        <v>35149.320360000005</v>
      </c>
      <c r="K751" s="42">
        <f t="shared" si="387"/>
        <v>0</v>
      </c>
      <c r="L751" s="42"/>
      <c r="M751" s="42"/>
      <c r="N751" s="42"/>
      <c r="O751" s="42"/>
      <c r="P751" s="42"/>
      <c r="Q751" s="58"/>
      <c r="R751" s="42"/>
      <c r="S751" s="42"/>
      <c r="T751" s="168"/>
    </row>
    <row r="752" spans="1:20" hidden="1" x14ac:dyDescent="0.25">
      <c r="A752" s="61"/>
      <c r="B752" s="51" t="s">
        <v>27</v>
      </c>
      <c r="C752" s="42"/>
      <c r="D752" s="42"/>
      <c r="E752" s="42"/>
      <c r="F752" s="42">
        <f t="shared" si="380"/>
        <v>0</v>
      </c>
      <c r="G752" s="42"/>
      <c r="H752" s="63">
        <v>16409.580000000002</v>
      </c>
      <c r="I752" s="63">
        <v>2.1419999999999999</v>
      </c>
      <c r="J752" s="42">
        <f t="shared" si="386"/>
        <v>35149.320360000005</v>
      </c>
      <c r="K752" s="42">
        <f t="shared" si="387"/>
        <v>0</v>
      </c>
      <c r="L752" s="42"/>
      <c r="M752" s="42"/>
      <c r="N752" s="42"/>
      <c r="O752" s="42"/>
      <c r="P752" s="42"/>
      <c r="Q752" s="58"/>
      <c r="R752" s="42"/>
      <c r="S752" s="42"/>
      <c r="T752" s="168"/>
    </row>
    <row r="753" spans="1:23" hidden="1" x14ac:dyDescent="0.25">
      <c r="A753" s="61"/>
      <c r="B753" s="51" t="s">
        <v>28</v>
      </c>
      <c r="C753" s="42"/>
      <c r="D753" s="42"/>
      <c r="E753" s="42"/>
      <c r="F753" s="42">
        <f t="shared" si="380"/>
        <v>0</v>
      </c>
      <c r="G753" s="42"/>
      <c r="H753" s="63">
        <v>16409.580000000002</v>
      </c>
      <c r="I753" s="63">
        <v>2.1419999999999999</v>
      </c>
      <c r="J753" s="42">
        <f t="shared" si="386"/>
        <v>35149.320360000005</v>
      </c>
      <c r="K753" s="42">
        <f t="shared" si="387"/>
        <v>0</v>
      </c>
      <c r="L753" s="42"/>
      <c r="M753" s="42"/>
      <c r="N753" s="42"/>
      <c r="O753" s="42"/>
      <c r="P753" s="42"/>
      <c r="Q753" s="58"/>
      <c r="R753" s="42"/>
      <c r="S753" s="42"/>
      <c r="T753" s="168"/>
    </row>
    <row r="754" spans="1:23" hidden="1" x14ac:dyDescent="0.25">
      <c r="A754" s="61"/>
      <c r="B754" s="51" t="s">
        <v>29</v>
      </c>
      <c r="C754" s="42"/>
      <c r="D754" s="42"/>
      <c r="E754" s="42"/>
      <c r="F754" s="42">
        <f t="shared" si="380"/>
        <v>0</v>
      </c>
      <c r="G754" s="42"/>
      <c r="H754" s="63">
        <v>16409.580000000002</v>
      </c>
      <c r="I754" s="63">
        <v>2.1419999999999999</v>
      </c>
      <c r="J754" s="42">
        <f t="shared" si="386"/>
        <v>35149.320360000005</v>
      </c>
      <c r="K754" s="42">
        <f t="shared" si="387"/>
        <v>0</v>
      </c>
      <c r="L754" s="42"/>
      <c r="M754" s="42"/>
      <c r="N754" s="42"/>
      <c r="O754" s="42"/>
      <c r="P754" s="42"/>
      <c r="Q754" s="58"/>
      <c r="R754" s="42"/>
      <c r="S754" s="42"/>
      <c r="T754" s="168"/>
    </row>
    <row r="755" spans="1:23" ht="39" hidden="1" x14ac:dyDescent="0.25">
      <c r="A755" s="61"/>
      <c r="B755" s="51" t="s">
        <v>9</v>
      </c>
      <c r="C755" s="42"/>
      <c r="D755" s="42"/>
      <c r="E755" s="42"/>
      <c r="F755" s="42">
        <f t="shared" si="380"/>
        <v>0</v>
      </c>
      <c r="G755" s="42"/>
      <c r="H755" s="63">
        <v>16409.580000000002</v>
      </c>
      <c r="I755" s="63">
        <v>2.1419999999999999</v>
      </c>
      <c r="J755" s="42">
        <f t="shared" si="386"/>
        <v>35149.320360000005</v>
      </c>
      <c r="K755" s="42">
        <f t="shared" si="387"/>
        <v>0</v>
      </c>
      <c r="L755" s="42"/>
      <c r="M755" s="42"/>
      <c r="N755" s="42"/>
      <c r="O755" s="42"/>
      <c r="P755" s="42"/>
      <c r="Q755" s="58"/>
      <c r="R755" s="42"/>
      <c r="S755" s="42"/>
      <c r="T755" s="168"/>
    </row>
    <row r="756" spans="1:23" ht="39" hidden="1" x14ac:dyDescent="0.25">
      <c r="A756" s="61"/>
      <c r="B756" s="51" t="s">
        <v>11</v>
      </c>
      <c r="C756" s="42"/>
      <c r="D756" s="42"/>
      <c r="E756" s="42"/>
      <c r="F756" s="42">
        <f t="shared" si="380"/>
        <v>0</v>
      </c>
      <c r="G756" s="42"/>
      <c r="H756" s="63">
        <v>16409.580000000002</v>
      </c>
      <c r="I756" s="63">
        <v>2.1419999999999999</v>
      </c>
      <c r="J756" s="42">
        <f t="shared" si="386"/>
        <v>35149.320360000005</v>
      </c>
      <c r="K756" s="42">
        <f t="shared" si="387"/>
        <v>0</v>
      </c>
      <c r="L756" s="42"/>
      <c r="M756" s="42"/>
      <c r="N756" s="42"/>
      <c r="O756" s="42"/>
      <c r="P756" s="42"/>
      <c r="Q756" s="58"/>
      <c r="R756" s="42"/>
      <c r="S756" s="42"/>
      <c r="T756" s="168"/>
    </row>
    <row r="757" spans="1:23" hidden="1" x14ac:dyDescent="0.25">
      <c r="A757" s="61"/>
      <c r="B757" s="51" t="s">
        <v>13</v>
      </c>
      <c r="C757" s="42"/>
      <c r="D757" s="42"/>
      <c r="E757" s="42"/>
      <c r="F757" s="42">
        <f t="shared" si="380"/>
        <v>0</v>
      </c>
      <c r="G757" s="42"/>
      <c r="H757" s="63">
        <v>16409.580000000002</v>
      </c>
      <c r="I757" s="63">
        <v>2.1419999999999999</v>
      </c>
      <c r="J757" s="42">
        <f t="shared" si="386"/>
        <v>35149.320360000005</v>
      </c>
      <c r="K757" s="42">
        <f t="shared" si="387"/>
        <v>0</v>
      </c>
      <c r="L757" s="42"/>
      <c r="M757" s="42"/>
      <c r="N757" s="42"/>
      <c r="O757" s="42"/>
      <c r="P757" s="42"/>
      <c r="Q757" s="58"/>
      <c r="R757" s="42"/>
      <c r="S757" s="42"/>
      <c r="T757" s="168"/>
    </row>
    <row r="758" spans="1:23" hidden="1" x14ac:dyDescent="0.25">
      <c r="A758" s="61"/>
      <c r="B758" s="61" t="s">
        <v>14</v>
      </c>
      <c r="C758" s="42"/>
      <c r="D758" s="42"/>
      <c r="E758" s="42"/>
      <c r="F758" s="42">
        <f t="shared" si="380"/>
        <v>0</v>
      </c>
      <c r="G758" s="42"/>
      <c r="H758" s="63">
        <v>16409.580000000002</v>
      </c>
      <c r="I758" s="63">
        <v>2.1419999999999999</v>
      </c>
      <c r="J758" s="42">
        <f t="shared" si="386"/>
        <v>35149.320360000005</v>
      </c>
      <c r="K758" s="42">
        <f t="shared" si="387"/>
        <v>0</v>
      </c>
      <c r="L758" s="42"/>
      <c r="M758" s="42"/>
      <c r="N758" s="42"/>
      <c r="O758" s="42"/>
      <c r="P758" s="42"/>
      <c r="Q758" s="58"/>
      <c r="R758" s="42"/>
      <c r="S758" s="42"/>
      <c r="T758" s="168"/>
    </row>
    <row r="759" spans="1:23" hidden="1" x14ac:dyDescent="0.25">
      <c r="A759" s="61"/>
      <c r="B759" s="61" t="s">
        <v>17</v>
      </c>
      <c r="C759" s="42"/>
      <c r="D759" s="42"/>
      <c r="E759" s="42"/>
      <c r="F759" s="42">
        <f t="shared" si="380"/>
        <v>0</v>
      </c>
      <c r="G759" s="42"/>
      <c r="H759" s="63">
        <v>16409.580000000002</v>
      </c>
      <c r="I759" s="63">
        <v>2.1419999999999999</v>
      </c>
      <c r="J759" s="42">
        <f t="shared" si="386"/>
        <v>35149.320360000005</v>
      </c>
      <c r="K759" s="42">
        <f t="shared" si="387"/>
        <v>0</v>
      </c>
      <c r="L759" s="42"/>
      <c r="M759" s="42"/>
      <c r="N759" s="42"/>
      <c r="O759" s="42"/>
      <c r="P759" s="42"/>
      <c r="Q759" s="58"/>
      <c r="R759" s="42"/>
      <c r="S759" s="42"/>
      <c r="T759" s="168"/>
    </row>
    <row r="760" spans="1:23" hidden="1" x14ac:dyDescent="0.25">
      <c r="A760" s="61"/>
      <c r="B760" s="61" t="s">
        <v>14</v>
      </c>
      <c r="C760" s="42"/>
      <c r="D760" s="42"/>
      <c r="E760" s="42"/>
      <c r="F760" s="42">
        <f t="shared" si="380"/>
        <v>0</v>
      </c>
      <c r="G760" s="42"/>
      <c r="H760" s="63">
        <v>16409.580000000002</v>
      </c>
      <c r="I760" s="63">
        <v>2.1419999999999999</v>
      </c>
      <c r="J760" s="42">
        <f t="shared" si="386"/>
        <v>35149.320360000005</v>
      </c>
      <c r="K760" s="42">
        <f t="shared" si="387"/>
        <v>0</v>
      </c>
      <c r="L760" s="42"/>
      <c r="M760" s="42"/>
      <c r="N760" s="42"/>
      <c r="O760" s="42"/>
      <c r="P760" s="42"/>
      <c r="Q760" s="58"/>
      <c r="R760" s="42"/>
      <c r="S760" s="42"/>
      <c r="T760" s="168"/>
    </row>
    <row r="761" spans="1:23" hidden="1" x14ac:dyDescent="0.25">
      <c r="A761" s="65"/>
      <c r="B761" s="51" t="s">
        <v>13</v>
      </c>
      <c r="C761" s="42"/>
      <c r="D761" s="42"/>
      <c r="E761" s="42"/>
      <c r="F761" s="42">
        <f t="shared" si="380"/>
        <v>0</v>
      </c>
      <c r="G761" s="42"/>
      <c r="H761" s="63">
        <v>16409.580000000002</v>
      </c>
      <c r="I761" s="63">
        <v>2.1419999999999999</v>
      </c>
      <c r="J761" s="42">
        <f t="shared" si="386"/>
        <v>35149.320360000005</v>
      </c>
      <c r="K761" s="42">
        <f t="shared" si="387"/>
        <v>0</v>
      </c>
      <c r="L761" s="42"/>
      <c r="M761" s="42"/>
      <c r="N761" s="42"/>
      <c r="O761" s="42"/>
      <c r="P761" s="42"/>
      <c r="Q761" s="58"/>
      <c r="R761" s="42"/>
      <c r="S761" s="42"/>
      <c r="T761" s="168"/>
    </row>
    <row r="762" spans="1:23" s="60" customFormat="1" hidden="1" x14ac:dyDescent="0.25">
      <c r="A762" s="56"/>
      <c r="B762" s="51" t="s">
        <v>27</v>
      </c>
      <c r="C762" s="58"/>
      <c r="D762" s="58"/>
      <c r="E762" s="58"/>
      <c r="F762" s="42">
        <f t="shared" si="380"/>
        <v>0</v>
      </c>
      <c r="G762" s="58"/>
      <c r="H762" s="63">
        <v>16409.580000000002</v>
      </c>
      <c r="I762" s="63">
        <v>2.1419999999999999</v>
      </c>
      <c r="J762" s="42">
        <f t="shared" si="386"/>
        <v>35149.320360000005</v>
      </c>
      <c r="K762" s="42">
        <f t="shared" si="387"/>
        <v>0</v>
      </c>
      <c r="L762" s="58"/>
      <c r="M762" s="42"/>
      <c r="N762" s="58"/>
      <c r="O762" s="42"/>
      <c r="P762" s="42"/>
      <c r="Q762" s="58"/>
      <c r="R762" s="42"/>
      <c r="S762" s="58"/>
      <c r="T762" s="168"/>
      <c r="U762" s="68"/>
      <c r="V762" s="66"/>
      <c r="W762" s="66"/>
    </row>
    <row r="763" spans="1:23" hidden="1" x14ac:dyDescent="0.25">
      <c r="A763" s="61"/>
      <c r="B763" s="51" t="s">
        <v>28</v>
      </c>
      <c r="C763" s="42"/>
      <c r="D763" s="42"/>
      <c r="E763" s="42"/>
      <c r="F763" s="42">
        <f t="shared" si="380"/>
        <v>0</v>
      </c>
      <c r="G763" s="42"/>
      <c r="H763" s="63">
        <v>16409.580000000002</v>
      </c>
      <c r="I763" s="63">
        <v>2.1419999999999999</v>
      </c>
      <c r="J763" s="42">
        <f t="shared" si="386"/>
        <v>35149.320360000005</v>
      </c>
      <c r="K763" s="42">
        <f t="shared" si="387"/>
        <v>0</v>
      </c>
      <c r="L763" s="42"/>
      <c r="M763" s="42"/>
      <c r="N763" s="42"/>
      <c r="O763" s="42"/>
      <c r="P763" s="42"/>
      <c r="Q763" s="58"/>
      <c r="R763" s="42"/>
      <c r="S763" s="42"/>
      <c r="T763" s="168"/>
    </row>
    <row r="764" spans="1:23" hidden="1" x14ac:dyDescent="0.25">
      <c r="A764" s="61"/>
      <c r="B764" s="51" t="s">
        <v>29</v>
      </c>
      <c r="C764" s="42"/>
      <c r="D764" s="42"/>
      <c r="E764" s="42"/>
      <c r="F764" s="42">
        <f t="shared" si="380"/>
        <v>0</v>
      </c>
      <c r="G764" s="42"/>
      <c r="H764" s="63">
        <v>16409.580000000002</v>
      </c>
      <c r="I764" s="63">
        <v>2.1419999999999999</v>
      </c>
      <c r="J764" s="42">
        <f t="shared" si="386"/>
        <v>35149.320360000005</v>
      </c>
      <c r="K764" s="42">
        <f t="shared" si="387"/>
        <v>0</v>
      </c>
      <c r="L764" s="42"/>
      <c r="M764" s="42"/>
      <c r="N764" s="42"/>
      <c r="O764" s="42"/>
      <c r="P764" s="42"/>
      <c r="Q764" s="58"/>
      <c r="R764" s="42"/>
      <c r="S764" s="42"/>
      <c r="T764" s="168"/>
    </row>
    <row r="765" spans="1:23" s="60" customFormat="1" hidden="1" x14ac:dyDescent="0.25">
      <c r="A765" s="56">
        <v>2</v>
      </c>
      <c r="B765" s="8" t="s">
        <v>233</v>
      </c>
      <c r="C765" s="58"/>
      <c r="D765" s="58"/>
      <c r="E765" s="58"/>
      <c r="F765" s="42">
        <f t="shared" si="380"/>
        <v>0</v>
      </c>
      <c r="G765" s="58"/>
      <c r="H765" s="63">
        <v>16409.580000000002</v>
      </c>
      <c r="I765" s="63">
        <v>2.1419999999999999</v>
      </c>
      <c r="J765" s="42">
        <f t="shared" si="386"/>
        <v>35149.320360000005</v>
      </c>
      <c r="K765" s="42">
        <f t="shared" si="387"/>
        <v>0</v>
      </c>
      <c r="L765" s="58"/>
      <c r="M765" s="42"/>
      <c r="N765" s="58"/>
      <c r="O765" s="42"/>
      <c r="P765" s="42"/>
      <c r="Q765" s="58"/>
      <c r="R765" s="58"/>
      <c r="S765" s="58"/>
      <c r="T765" s="168"/>
      <c r="U765" s="68"/>
      <c r="V765" s="66"/>
      <c r="W765" s="66"/>
    </row>
    <row r="766" spans="1:23" ht="39" hidden="1" x14ac:dyDescent="0.25">
      <c r="A766" s="61" t="s">
        <v>15</v>
      </c>
      <c r="B766" s="51" t="s">
        <v>54</v>
      </c>
      <c r="C766" s="42"/>
      <c r="D766" s="42"/>
      <c r="E766" s="42"/>
      <c r="F766" s="42">
        <f t="shared" si="380"/>
        <v>0</v>
      </c>
      <c r="G766" s="42"/>
      <c r="H766" s="63">
        <v>16409.580000000002</v>
      </c>
      <c r="I766" s="63">
        <v>2.1419999999999999</v>
      </c>
      <c r="J766" s="42">
        <f t="shared" si="386"/>
        <v>35149.320360000005</v>
      </c>
      <c r="K766" s="42">
        <f t="shared" si="387"/>
        <v>0</v>
      </c>
      <c r="L766" s="42"/>
      <c r="M766" s="42"/>
      <c r="N766" s="42"/>
      <c r="O766" s="42"/>
      <c r="P766" s="42"/>
      <c r="Q766" s="58"/>
      <c r="R766" s="42"/>
      <c r="S766" s="42"/>
      <c r="T766" s="168"/>
    </row>
    <row r="767" spans="1:23" hidden="1" x14ac:dyDescent="0.25">
      <c r="A767" s="61"/>
      <c r="B767" s="51" t="s">
        <v>27</v>
      </c>
      <c r="C767" s="42"/>
      <c r="D767" s="42"/>
      <c r="E767" s="42"/>
      <c r="F767" s="42">
        <f t="shared" si="380"/>
        <v>0</v>
      </c>
      <c r="G767" s="42"/>
      <c r="H767" s="63">
        <v>16409.580000000002</v>
      </c>
      <c r="I767" s="63">
        <v>2.1419999999999999</v>
      </c>
      <c r="J767" s="42">
        <f t="shared" si="386"/>
        <v>35149.320360000005</v>
      </c>
      <c r="K767" s="42">
        <f t="shared" si="387"/>
        <v>0</v>
      </c>
      <c r="L767" s="42"/>
      <c r="M767" s="42"/>
      <c r="N767" s="42"/>
      <c r="O767" s="42"/>
      <c r="P767" s="42"/>
      <c r="Q767" s="58"/>
      <c r="R767" s="42"/>
      <c r="S767" s="42"/>
      <c r="T767" s="168"/>
    </row>
    <row r="768" spans="1:23" hidden="1" x14ac:dyDescent="0.25">
      <c r="A768" s="61"/>
      <c r="B768" s="51" t="s">
        <v>28</v>
      </c>
      <c r="C768" s="42"/>
      <c r="D768" s="42"/>
      <c r="E768" s="42"/>
      <c r="F768" s="42">
        <f t="shared" si="380"/>
        <v>0</v>
      </c>
      <c r="G768" s="42"/>
      <c r="H768" s="63">
        <v>16409.580000000002</v>
      </c>
      <c r="I768" s="63">
        <v>2.1419999999999999</v>
      </c>
      <c r="J768" s="42">
        <f t="shared" si="386"/>
        <v>35149.320360000005</v>
      </c>
      <c r="K768" s="42">
        <f t="shared" si="387"/>
        <v>0</v>
      </c>
      <c r="L768" s="42"/>
      <c r="M768" s="42"/>
      <c r="N768" s="42"/>
      <c r="O768" s="42"/>
      <c r="P768" s="42"/>
      <c r="Q768" s="58"/>
      <c r="R768" s="42"/>
      <c r="S768" s="42"/>
      <c r="T768" s="168"/>
    </row>
    <row r="769" spans="1:20" hidden="1" x14ac:dyDescent="0.25">
      <c r="A769" s="61"/>
      <c r="B769" s="51" t="s">
        <v>29</v>
      </c>
      <c r="C769" s="42"/>
      <c r="D769" s="42"/>
      <c r="E769" s="42"/>
      <c r="F769" s="42">
        <f t="shared" si="380"/>
        <v>0</v>
      </c>
      <c r="G769" s="42"/>
      <c r="H769" s="63">
        <v>16409.580000000002</v>
      </c>
      <c r="I769" s="63">
        <v>2.1419999999999999</v>
      </c>
      <c r="J769" s="42">
        <f t="shared" si="386"/>
        <v>35149.320360000005</v>
      </c>
      <c r="K769" s="42">
        <f t="shared" si="387"/>
        <v>0</v>
      </c>
      <c r="L769" s="42"/>
      <c r="M769" s="42"/>
      <c r="N769" s="42"/>
      <c r="O769" s="42"/>
      <c r="P769" s="42"/>
      <c r="Q769" s="58"/>
      <c r="R769" s="42"/>
      <c r="S769" s="42"/>
      <c r="T769" s="168"/>
    </row>
    <row r="770" spans="1:20" ht="39" hidden="1" x14ac:dyDescent="0.25">
      <c r="A770" s="61" t="s">
        <v>59</v>
      </c>
      <c r="B770" s="51" t="s">
        <v>68</v>
      </c>
      <c r="C770" s="42"/>
      <c r="D770" s="42"/>
      <c r="E770" s="42"/>
      <c r="F770" s="42">
        <f t="shared" si="380"/>
        <v>0</v>
      </c>
      <c r="G770" s="42"/>
      <c r="H770" s="63">
        <v>16409.580000000002</v>
      </c>
      <c r="I770" s="63">
        <v>2.1419999999999999</v>
      </c>
      <c r="J770" s="42">
        <f t="shared" si="386"/>
        <v>35149.320360000005</v>
      </c>
      <c r="K770" s="42">
        <f t="shared" si="387"/>
        <v>0</v>
      </c>
      <c r="L770" s="42"/>
      <c r="M770" s="42"/>
      <c r="N770" s="42"/>
      <c r="O770" s="42"/>
      <c r="P770" s="42"/>
      <c r="Q770" s="58"/>
      <c r="R770" s="42"/>
      <c r="S770" s="42"/>
      <c r="T770" s="168"/>
    </row>
    <row r="771" spans="1:20" hidden="1" x14ac:dyDescent="0.25">
      <c r="A771" s="61"/>
      <c r="B771" s="51" t="s">
        <v>27</v>
      </c>
      <c r="C771" s="42"/>
      <c r="D771" s="42"/>
      <c r="E771" s="42"/>
      <c r="F771" s="42">
        <f t="shared" si="380"/>
        <v>0</v>
      </c>
      <c r="G771" s="42"/>
      <c r="H771" s="63">
        <v>16409.580000000002</v>
      </c>
      <c r="I771" s="63">
        <v>2.1419999999999999</v>
      </c>
      <c r="J771" s="42">
        <f t="shared" si="386"/>
        <v>35149.320360000005</v>
      </c>
      <c r="K771" s="42">
        <f t="shared" si="387"/>
        <v>0</v>
      </c>
      <c r="L771" s="42"/>
      <c r="M771" s="42"/>
      <c r="N771" s="42"/>
      <c r="O771" s="42"/>
      <c r="P771" s="42"/>
      <c r="Q771" s="58"/>
      <c r="R771" s="42"/>
      <c r="S771" s="42"/>
      <c r="T771" s="168"/>
    </row>
    <row r="772" spans="1:20" hidden="1" x14ac:dyDescent="0.25">
      <c r="A772" s="61"/>
      <c r="B772" s="51" t="s">
        <v>28</v>
      </c>
      <c r="C772" s="42"/>
      <c r="D772" s="42"/>
      <c r="E772" s="42"/>
      <c r="F772" s="42">
        <f t="shared" si="380"/>
        <v>0</v>
      </c>
      <c r="G772" s="42"/>
      <c r="H772" s="63">
        <v>16409.580000000002</v>
      </c>
      <c r="I772" s="63">
        <v>2.1419999999999999</v>
      </c>
      <c r="J772" s="42">
        <f t="shared" si="386"/>
        <v>35149.320360000005</v>
      </c>
      <c r="K772" s="42">
        <f t="shared" si="387"/>
        <v>0</v>
      </c>
      <c r="L772" s="42"/>
      <c r="M772" s="42"/>
      <c r="N772" s="42"/>
      <c r="O772" s="42"/>
      <c r="P772" s="42"/>
      <c r="Q772" s="58"/>
      <c r="R772" s="42"/>
      <c r="S772" s="42"/>
      <c r="T772" s="168"/>
    </row>
    <row r="773" spans="1:20" hidden="1" x14ac:dyDescent="0.25">
      <c r="A773" s="61"/>
      <c r="B773" s="51" t="s">
        <v>29</v>
      </c>
      <c r="C773" s="42"/>
      <c r="D773" s="42"/>
      <c r="E773" s="42"/>
      <c r="F773" s="42">
        <f t="shared" si="380"/>
        <v>0</v>
      </c>
      <c r="G773" s="42"/>
      <c r="H773" s="63">
        <v>16409.580000000002</v>
      </c>
      <c r="I773" s="63">
        <v>2.1419999999999999</v>
      </c>
      <c r="J773" s="42">
        <f t="shared" si="386"/>
        <v>35149.320360000005</v>
      </c>
      <c r="K773" s="42">
        <f t="shared" si="387"/>
        <v>0</v>
      </c>
      <c r="L773" s="42"/>
      <c r="M773" s="42"/>
      <c r="N773" s="42"/>
      <c r="O773" s="42"/>
      <c r="P773" s="42"/>
      <c r="Q773" s="58"/>
      <c r="R773" s="42"/>
      <c r="S773" s="42"/>
      <c r="T773" s="168"/>
    </row>
    <row r="774" spans="1:20" ht="39" hidden="1" x14ac:dyDescent="0.25">
      <c r="A774" s="61" t="s">
        <v>60</v>
      </c>
      <c r="B774" s="51" t="s">
        <v>55</v>
      </c>
      <c r="C774" s="42"/>
      <c r="D774" s="42"/>
      <c r="E774" s="42"/>
      <c r="F774" s="42">
        <f t="shared" si="380"/>
        <v>0</v>
      </c>
      <c r="G774" s="42"/>
      <c r="H774" s="63">
        <v>16409.580000000002</v>
      </c>
      <c r="I774" s="63">
        <v>2.1419999999999999</v>
      </c>
      <c r="J774" s="42">
        <f t="shared" si="386"/>
        <v>35149.320360000005</v>
      </c>
      <c r="K774" s="42">
        <f t="shared" si="387"/>
        <v>0</v>
      </c>
      <c r="L774" s="42"/>
      <c r="M774" s="42"/>
      <c r="N774" s="42"/>
      <c r="O774" s="42"/>
      <c r="P774" s="42"/>
      <c r="Q774" s="58"/>
      <c r="R774" s="42"/>
      <c r="S774" s="42"/>
      <c r="T774" s="168"/>
    </row>
    <row r="775" spans="1:20" hidden="1" x14ac:dyDescent="0.25">
      <c r="A775" s="61"/>
      <c r="B775" s="51" t="s">
        <v>27</v>
      </c>
      <c r="C775" s="42"/>
      <c r="D775" s="42"/>
      <c r="E775" s="42"/>
      <c r="F775" s="42">
        <f t="shared" si="380"/>
        <v>0</v>
      </c>
      <c r="G775" s="42"/>
      <c r="H775" s="63">
        <v>16409.580000000002</v>
      </c>
      <c r="I775" s="63">
        <v>2.1419999999999999</v>
      </c>
      <c r="J775" s="42">
        <f t="shared" si="386"/>
        <v>35149.320360000005</v>
      </c>
      <c r="K775" s="42">
        <f t="shared" si="387"/>
        <v>0</v>
      </c>
      <c r="L775" s="42"/>
      <c r="M775" s="42"/>
      <c r="N775" s="42"/>
      <c r="O775" s="42"/>
      <c r="P775" s="42"/>
      <c r="Q775" s="58"/>
      <c r="R775" s="42"/>
      <c r="S775" s="42"/>
      <c r="T775" s="168"/>
    </row>
    <row r="776" spans="1:20" hidden="1" x14ac:dyDescent="0.25">
      <c r="A776" s="61"/>
      <c r="B776" s="51" t="s">
        <v>28</v>
      </c>
      <c r="C776" s="42"/>
      <c r="D776" s="42"/>
      <c r="E776" s="42"/>
      <c r="F776" s="42">
        <f t="shared" si="380"/>
        <v>0</v>
      </c>
      <c r="G776" s="42"/>
      <c r="H776" s="63">
        <v>16409.580000000002</v>
      </c>
      <c r="I776" s="63">
        <v>2.1419999999999999</v>
      </c>
      <c r="J776" s="42">
        <f t="shared" si="386"/>
        <v>35149.320360000005</v>
      </c>
      <c r="K776" s="42">
        <f t="shared" si="387"/>
        <v>0</v>
      </c>
      <c r="L776" s="42"/>
      <c r="M776" s="42"/>
      <c r="N776" s="42"/>
      <c r="O776" s="42"/>
      <c r="P776" s="42"/>
      <c r="Q776" s="58"/>
      <c r="R776" s="42"/>
      <c r="S776" s="42"/>
      <c r="T776" s="168"/>
    </row>
    <row r="777" spans="1:20" hidden="1" x14ac:dyDescent="0.25">
      <c r="A777" s="61"/>
      <c r="B777" s="51" t="s">
        <v>29</v>
      </c>
      <c r="C777" s="42"/>
      <c r="D777" s="42"/>
      <c r="E777" s="42"/>
      <c r="F777" s="42">
        <f t="shared" si="380"/>
        <v>0</v>
      </c>
      <c r="G777" s="42"/>
      <c r="H777" s="63">
        <v>16409.580000000002</v>
      </c>
      <c r="I777" s="63">
        <v>2.1419999999999999</v>
      </c>
      <c r="J777" s="42">
        <f t="shared" si="386"/>
        <v>35149.320360000005</v>
      </c>
      <c r="K777" s="42">
        <f t="shared" si="387"/>
        <v>0</v>
      </c>
      <c r="L777" s="42"/>
      <c r="M777" s="42"/>
      <c r="N777" s="42"/>
      <c r="O777" s="42"/>
      <c r="P777" s="42"/>
      <c r="Q777" s="58"/>
      <c r="R777" s="42"/>
      <c r="S777" s="42"/>
      <c r="T777" s="168"/>
    </row>
    <row r="778" spans="1:20" ht="39" hidden="1" x14ac:dyDescent="0.25">
      <c r="A778" s="61" t="s">
        <v>61</v>
      </c>
      <c r="B778" s="51" t="s">
        <v>56</v>
      </c>
      <c r="C778" s="42"/>
      <c r="D778" s="42"/>
      <c r="E778" s="42"/>
      <c r="F778" s="42">
        <f t="shared" si="380"/>
        <v>0</v>
      </c>
      <c r="G778" s="42"/>
      <c r="H778" s="63">
        <v>16409.580000000002</v>
      </c>
      <c r="I778" s="63">
        <v>2.1419999999999999</v>
      </c>
      <c r="J778" s="42">
        <f t="shared" si="386"/>
        <v>35149.320360000005</v>
      </c>
      <c r="K778" s="42">
        <f t="shared" si="387"/>
        <v>0</v>
      </c>
      <c r="L778" s="42"/>
      <c r="M778" s="42"/>
      <c r="N778" s="42"/>
      <c r="O778" s="42"/>
      <c r="P778" s="42"/>
      <c r="Q778" s="58"/>
      <c r="R778" s="42"/>
      <c r="S778" s="42"/>
      <c r="T778" s="168"/>
    </row>
    <row r="779" spans="1:20" hidden="1" x14ac:dyDescent="0.25">
      <c r="A779" s="61"/>
      <c r="B779" s="51" t="s">
        <v>27</v>
      </c>
      <c r="C779" s="42"/>
      <c r="D779" s="42"/>
      <c r="E779" s="42"/>
      <c r="F779" s="42">
        <f t="shared" si="380"/>
        <v>0</v>
      </c>
      <c r="G779" s="42"/>
      <c r="H779" s="63">
        <v>16409.580000000002</v>
      </c>
      <c r="I779" s="63">
        <v>2.1419999999999999</v>
      </c>
      <c r="J779" s="42">
        <f t="shared" si="386"/>
        <v>35149.320360000005</v>
      </c>
      <c r="K779" s="42">
        <f t="shared" si="387"/>
        <v>0</v>
      </c>
      <c r="L779" s="42"/>
      <c r="M779" s="42"/>
      <c r="N779" s="42"/>
      <c r="O779" s="42"/>
      <c r="P779" s="42"/>
      <c r="Q779" s="58"/>
      <c r="R779" s="42"/>
      <c r="S779" s="42"/>
      <c r="T779" s="168"/>
    </row>
    <row r="780" spans="1:20" hidden="1" x14ac:dyDescent="0.25">
      <c r="A780" s="61"/>
      <c r="B780" s="51" t="s">
        <v>28</v>
      </c>
      <c r="C780" s="42"/>
      <c r="D780" s="42"/>
      <c r="E780" s="42"/>
      <c r="F780" s="42">
        <f t="shared" si="380"/>
        <v>0</v>
      </c>
      <c r="G780" s="42"/>
      <c r="H780" s="63">
        <v>16409.580000000002</v>
      </c>
      <c r="I780" s="63">
        <v>2.1419999999999999</v>
      </c>
      <c r="J780" s="42">
        <f t="shared" si="386"/>
        <v>35149.320360000005</v>
      </c>
      <c r="K780" s="42">
        <f t="shared" si="387"/>
        <v>0</v>
      </c>
      <c r="L780" s="42"/>
      <c r="M780" s="42"/>
      <c r="N780" s="42"/>
      <c r="O780" s="42"/>
      <c r="P780" s="42"/>
      <c r="Q780" s="58"/>
      <c r="R780" s="42"/>
      <c r="S780" s="42"/>
      <c r="T780" s="168"/>
    </row>
    <row r="781" spans="1:20" hidden="1" x14ac:dyDescent="0.25">
      <c r="A781" s="61"/>
      <c r="B781" s="51" t="s">
        <v>29</v>
      </c>
      <c r="C781" s="42"/>
      <c r="D781" s="42"/>
      <c r="E781" s="42"/>
      <c r="F781" s="42">
        <f t="shared" si="380"/>
        <v>0</v>
      </c>
      <c r="G781" s="42"/>
      <c r="H781" s="63">
        <v>16409.580000000002</v>
      </c>
      <c r="I781" s="63">
        <v>2.1419999999999999</v>
      </c>
      <c r="J781" s="42">
        <f t="shared" si="386"/>
        <v>35149.320360000005</v>
      </c>
      <c r="K781" s="42">
        <f t="shared" si="387"/>
        <v>0</v>
      </c>
      <c r="L781" s="42"/>
      <c r="M781" s="42"/>
      <c r="N781" s="42"/>
      <c r="O781" s="42"/>
      <c r="P781" s="42"/>
      <c r="Q781" s="58"/>
      <c r="R781" s="42"/>
      <c r="S781" s="42"/>
      <c r="T781" s="168"/>
    </row>
    <row r="782" spans="1:20" ht="51.75" hidden="1" x14ac:dyDescent="0.25">
      <c r="A782" s="61" t="s">
        <v>62</v>
      </c>
      <c r="B782" s="51" t="s">
        <v>57</v>
      </c>
      <c r="C782" s="42"/>
      <c r="D782" s="42"/>
      <c r="E782" s="42"/>
      <c r="F782" s="42">
        <f t="shared" si="380"/>
        <v>0</v>
      </c>
      <c r="G782" s="42"/>
      <c r="H782" s="63">
        <v>16409.580000000002</v>
      </c>
      <c r="I782" s="63">
        <v>2.1419999999999999</v>
      </c>
      <c r="J782" s="42">
        <f t="shared" si="386"/>
        <v>35149.320360000005</v>
      </c>
      <c r="K782" s="42">
        <f t="shared" si="387"/>
        <v>0</v>
      </c>
      <c r="L782" s="42"/>
      <c r="M782" s="42"/>
      <c r="N782" s="42"/>
      <c r="O782" s="42"/>
      <c r="P782" s="42"/>
      <c r="Q782" s="58"/>
      <c r="R782" s="42"/>
      <c r="S782" s="42"/>
      <c r="T782" s="168"/>
    </row>
    <row r="783" spans="1:20" hidden="1" x14ac:dyDescent="0.25">
      <c r="A783" s="61"/>
      <c r="B783" s="51" t="s">
        <v>27</v>
      </c>
      <c r="C783" s="42"/>
      <c r="D783" s="42"/>
      <c r="E783" s="42"/>
      <c r="F783" s="42">
        <f t="shared" si="380"/>
        <v>0</v>
      </c>
      <c r="G783" s="42"/>
      <c r="H783" s="63">
        <v>16409.580000000002</v>
      </c>
      <c r="I783" s="63">
        <v>2.1419999999999999</v>
      </c>
      <c r="J783" s="42">
        <f t="shared" si="386"/>
        <v>35149.320360000005</v>
      </c>
      <c r="K783" s="42">
        <f t="shared" si="387"/>
        <v>0</v>
      </c>
      <c r="L783" s="42"/>
      <c r="M783" s="42"/>
      <c r="N783" s="42"/>
      <c r="O783" s="42"/>
      <c r="P783" s="42"/>
      <c r="Q783" s="58"/>
      <c r="R783" s="42"/>
      <c r="S783" s="42"/>
      <c r="T783" s="168"/>
    </row>
    <row r="784" spans="1:20" hidden="1" x14ac:dyDescent="0.25">
      <c r="A784" s="61"/>
      <c r="B784" s="51" t="s">
        <v>28</v>
      </c>
      <c r="C784" s="42"/>
      <c r="D784" s="42"/>
      <c r="E784" s="42"/>
      <c r="F784" s="42">
        <f t="shared" si="380"/>
        <v>0</v>
      </c>
      <c r="G784" s="42"/>
      <c r="H784" s="63">
        <v>16409.580000000002</v>
      </c>
      <c r="I784" s="63">
        <v>2.1419999999999999</v>
      </c>
      <c r="J784" s="42">
        <f t="shared" si="386"/>
        <v>35149.320360000005</v>
      </c>
      <c r="K784" s="42">
        <f t="shared" si="387"/>
        <v>0</v>
      </c>
      <c r="L784" s="42"/>
      <c r="M784" s="42"/>
      <c r="N784" s="42"/>
      <c r="O784" s="42"/>
      <c r="P784" s="42"/>
      <c r="Q784" s="58"/>
      <c r="R784" s="42"/>
      <c r="S784" s="42"/>
      <c r="T784" s="168"/>
    </row>
    <row r="785" spans="1:20" hidden="1" x14ac:dyDescent="0.25">
      <c r="A785" s="61"/>
      <c r="B785" s="51" t="s">
        <v>29</v>
      </c>
      <c r="C785" s="42"/>
      <c r="D785" s="42"/>
      <c r="E785" s="42"/>
      <c r="F785" s="42">
        <f t="shared" si="380"/>
        <v>0</v>
      </c>
      <c r="G785" s="42"/>
      <c r="H785" s="63">
        <v>16409.580000000002</v>
      </c>
      <c r="I785" s="63">
        <v>2.1419999999999999</v>
      </c>
      <c r="J785" s="42">
        <f t="shared" si="386"/>
        <v>35149.320360000005</v>
      </c>
      <c r="K785" s="42">
        <f t="shared" si="387"/>
        <v>0</v>
      </c>
      <c r="L785" s="42"/>
      <c r="M785" s="42"/>
      <c r="N785" s="42"/>
      <c r="O785" s="42"/>
      <c r="P785" s="42"/>
      <c r="Q785" s="58"/>
      <c r="R785" s="42"/>
      <c r="S785" s="42"/>
      <c r="T785" s="168"/>
    </row>
    <row r="786" spans="1:20" ht="51.75" hidden="1" x14ac:dyDescent="0.25">
      <c r="A786" s="61" t="s">
        <v>63</v>
      </c>
      <c r="B786" s="51" t="s">
        <v>58</v>
      </c>
      <c r="C786" s="42"/>
      <c r="D786" s="42"/>
      <c r="E786" s="42"/>
      <c r="F786" s="42">
        <f t="shared" si="380"/>
        <v>0</v>
      </c>
      <c r="G786" s="42"/>
      <c r="H786" s="63">
        <v>16409.580000000002</v>
      </c>
      <c r="I786" s="63">
        <v>2.1419999999999999</v>
      </c>
      <c r="J786" s="42">
        <f t="shared" si="386"/>
        <v>35149.320360000005</v>
      </c>
      <c r="K786" s="42">
        <f t="shared" si="387"/>
        <v>0</v>
      </c>
      <c r="L786" s="42"/>
      <c r="M786" s="42"/>
      <c r="N786" s="42"/>
      <c r="O786" s="42"/>
      <c r="P786" s="42"/>
      <c r="Q786" s="58"/>
      <c r="R786" s="42"/>
      <c r="S786" s="42"/>
      <c r="T786" s="168"/>
    </row>
    <row r="787" spans="1:20" hidden="1" x14ac:dyDescent="0.25">
      <c r="A787" s="61"/>
      <c r="B787" s="51" t="s">
        <v>27</v>
      </c>
      <c r="C787" s="42"/>
      <c r="D787" s="42"/>
      <c r="E787" s="42"/>
      <c r="F787" s="42">
        <f t="shared" si="380"/>
        <v>0</v>
      </c>
      <c r="G787" s="42"/>
      <c r="H787" s="63">
        <v>16409.580000000002</v>
      </c>
      <c r="I787" s="63">
        <v>2.1419999999999999</v>
      </c>
      <c r="J787" s="42">
        <f t="shared" si="386"/>
        <v>35149.320360000005</v>
      </c>
      <c r="K787" s="42">
        <f t="shared" si="387"/>
        <v>0</v>
      </c>
      <c r="L787" s="42"/>
      <c r="M787" s="42"/>
      <c r="N787" s="42"/>
      <c r="O787" s="42"/>
      <c r="P787" s="42"/>
      <c r="Q787" s="58"/>
      <c r="R787" s="42"/>
      <c r="S787" s="42"/>
      <c r="T787" s="168"/>
    </row>
    <row r="788" spans="1:20" hidden="1" x14ac:dyDescent="0.25">
      <c r="A788" s="61"/>
      <c r="B788" s="51" t="s">
        <v>28</v>
      </c>
      <c r="C788" s="42"/>
      <c r="D788" s="42"/>
      <c r="E788" s="42"/>
      <c r="F788" s="42">
        <f t="shared" si="380"/>
        <v>0</v>
      </c>
      <c r="G788" s="42"/>
      <c r="H788" s="63">
        <v>16409.580000000002</v>
      </c>
      <c r="I788" s="63">
        <v>2.1419999999999999</v>
      </c>
      <c r="J788" s="42">
        <f t="shared" si="386"/>
        <v>35149.320360000005</v>
      </c>
      <c r="K788" s="42">
        <f t="shared" si="387"/>
        <v>0</v>
      </c>
      <c r="L788" s="42"/>
      <c r="M788" s="42"/>
      <c r="N788" s="42"/>
      <c r="O788" s="42"/>
      <c r="P788" s="42"/>
      <c r="Q788" s="58"/>
      <c r="R788" s="42"/>
      <c r="S788" s="42"/>
      <c r="T788" s="168"/>
    </row>
    <row r="789" spans="1:20" hidden="1" x14ac:dyDescent="0.25">
      <c r="A789" s="61"/>
      <c r="B789" s="51" t="s">
        <v>29</v>
      </c>
      <c r="C789" s="42"/>
      <c r="D789" s="42"/>
      <c r="E789" s="42"/>
      <c r="F789" s="42">
        <f t="shared" si="380"/>
        <v>0</v>
      </c>
      <c r="G789" s="42"/>
      <c r="H789" s="63">
        <v>16409.580000000002</v>
      </c>
      <c r="I789" s="63">
        <v>2.1419999999999999</v>
      </c>
      <c r="J789" s="42">
        <f t="shared" si="386"/>
        <v>35149.320360000005</v>
      </c>
      <c r="K789" s="42">
        <f t="shared" si="387"/>
        <v>0</v>
      </c>
      <c r="L789" s="42"/>
      <c r="M789" s="42"/>
      <c r="N789" s="42"/>
      <c r="O789" s="42"/>
      <c r="P789" s="42"/>
      <c r="Q789" s="58"/>
      <c r="R789" s="42"/>
      <c r="S789" s="42"/>
      <c r="T789" s="168"/>
    </row>
    <row r="790" spans="1:20" ht="39" hidden="1" x14ac:dyDescent="0.25">
      <c r="A790" s="61" t="s">
        <v>64</v>
      </c>
      <c r="B790" s="51" t="s">
        <v>30</v>
      </c>
      <c r="C790" s="42"/>
      <c r="D790" s="42"/>
      <c r="E790" s="42"/>
      <c r="F790" s="42">
        <f t="shared" si="380"/>
        <v>0</v>
      </c>
      <c r="G790" s="42"/>
      <c r="H790" s="63">
        <v>16409.580000000002</v>
      </c>
      <c r="I790" s="63">
        <v>2.1419999999999999</v>
      </c>
      <c r="J790" s="42">
        <f t="shared" si="386"/>
        <v>35149.320360000005</v>
      </c>
      <c r="K790" s="42">
        <f t="shared" si="387"/>
        <v>0</v>
      </c>
      <c r="L790" s="42"/>
      <c r="M790" s="42"/>
      <c r="N790" s="42"/>
      <c r="O790" s="42"/>
      <c r="P790" s="42"/>
      <c r="Q790" s="58"/>
      <c r="R790" s="42"/>
      <c r="S790" s="42"/>
      <c r="T790" s="168"/>
    </row>
    <row r="791" spans="1:20" hidden="1" x14ac:dyDescent="0.25">
      <c r="A791" s="61"/>
      <c r="B791" s="51" t="s">
        <v>27</v>
      </c>
      <c r="C791" s="42"/>
      <c r="D791" s="42"/>
      <c r="E791" s="42"/>
      <c r="F791" s="42">
        <f t="shared" si="380"/>
        <v>0</v>
      </c>
      <c r="G791" s="42"/>
      <c r="H791" s="63">
        <v>16409.580000000002</v>
      </c>
      <c r="I791" s="63">
        <v>2.1419999999999999</v>
      </c>
      <c r="J791" s="42">
        <f t="shared" si="386"/>
        <v>35149.320360000005</v>
      </c>
      <c r="K791" s="42">
        <f t="shared" si="387"/>
        <v>0</v>
      </c>
      <c r="L791" s="42"/>
      <c r="M791" s="42"/>
      <c r="N791" s="42"/>
      <c r="O791" s="42"/>
      <c r="P791" s="42"/>
      <c r="Q791" s="58"/>
      <c r="R791" s="42"/>
      <c r="S791" s="42"/>
      <c r="T791" s="168"/>
    </row>
    <row r="792" spans="1:20" hidden="1" x14ac:dyDescent="0.25">
      <c r="A792" s="61"/>
      <c r="B792" s="51" t="s">
        <v>28</v>
      </c>
      <c r="C792" s="42"/>
      <c r="D792" s="42"/>
      <c r="E792" s="42"/>
      <c r="F792" s="42">
        <f t="shared" ref="F792:F838" si="388">ROUND(D792*35.4%,0)</f>
        <v>0</v>
      </c>
      <c r="G792" s="42"/>
      <c r="H792" s="63">
        <v>16409.580000000002</v>
      </c>
      <c r="I792" s="63">
        <v>2.1419999999999999</v>
      </c>
      <c r="J792" s="42">
        <f t="shared" si="386"/>
        <v>35149.320360000005</v>
      </c>
      <c r="K792" s="42">
        <f t="shared" si="387"/>
        <v>0</v>
      </c>
      <c r="L792" s="42"/>
      <c r="M792" s="42"/>
      <c r="N792" s="42"/>
      <c r="O792" s="42"/>
      <c r="P792" s="42"/>
      <c r="Q792" s="58"/>
      <c r="R792" s="42"/>
      <c r="S792" s="42"/>
      <c r="T792" s="168"/>
    </row>
    <row r="793" spans="1:20" hidden="1" x14ac:dyDescent="0.25">
      <c r="A793" s="61"/>
      <c r="B793" s="51" t="s">
        <v>29</v>
      </c>
      <c r="C793" s="42"/>
      <c r="D793" s="42"/>
      <c r="E793" s="42"/>
      <c r="F793" s="42">
        <f t="shared" si="388"/>
        <v>0</v>
      </c>
      <c r="G793" s="42"/>
      <c r="H793" s="63">
        <v>16409.580000000002</v>
      </c>
      <c r="I793" s="63">
        <v>2.1419999999999999</v>
      </c>
      <c r="J793" s="42">
        <f t="shared" ref="J793:J803" si="389">H793*I793</f>
        <v>35149.320360000005</v>
      </c>
      <c r="K793" s="42">
        <f t="shared" ref="K793:K803" si="390">ROUND(C793*J793,0)</f>
        <v>0</v>
      </c>
      <c r="L793" s="42"/>
      <c r="M793" s="42"/>
      <c r="N793" s="42"/>
      <c r="O793" s="42"/>
      <c r="P793" s="42"/>
      <c r="Q793" s="58"/>
      <c r="R793" s="42"/>
      <c r="S793" s="42"/>
      <c r="T793" s="168"/>
    </row>
    <row r="794" spans="1:20" ht="39" hidden="1" x14ac:dyDescent="0.25">
      <c r="A794" s="61"/>
      <c r="B794" s="51" t="s">
        <v>9</v>
      </c>
      <c r="C794" s="42"/>
      <c r="D794" s="42"/>
      <c r="E794" s="42"/>
      <c r="F794" s="42">
        <f t="shared" si="388"/>
        <v>0</v>
      </c>
      <c r="G794" s="42"/>
      <c r="H794" s="63">
        <v>16409.580000000002</v>
      </c>
      <c r="I794" s="63">
        <v>2.1419999999999999</v>
      </c>
      <c r="J794" s="42">
        <f t="shared" si="389"/>
        <v>35149.320360000005</v>
      </c>
      <c r="K794" s="42">
        <f t="shared" si="390"/>
        <v>0</v>
      </c>
      <c r="L794" s="42"/>
      <c r="M794" s="42"/>
      <c r="N794" s="42"/>
      <c r="O794" s="42"/>
      <c r="P794" s="42"/>
      <c r="Q794" s="58"/>
      <c r="R794" s="42"/>
      <c r="S794" s="42"/>
      <c r="T794" s="168"/>
    </row>
    <row r="795" spans="1:20" ht="39" hidden="1" x14ac:dyDescent="0.25">
      <c r="A795" s="61"/>
      <c r="B795" s="51" t="s">
        <v>11</v>
      </c>
      <c r="C795" s="42"/>
      <c r="D795" s="42"/>
      <c r="E795" s="42"/>
      <c r="F795" s="42">
        <f t="shared" si="388"/>
        <v>0</v>
      </c>
      <c r="G795" s="42"/>
      <c r="H795" s="63">
        <v>16409.580000000002</v>
      </c>
      <c r="I795" s="63">
        <v>2.1419999999999999</v>
      </c>
      <c r="J795" s="42">
        <f t="shared" si="389"/>
        <v>35149.320360000005</v>
      </c>
      <c r="K795" s="42">
        <f t="shared" si="390"/>
        <v>0</v>
      </c>
      <c r="L795" s="42"/>
      <c r="M795" s="42"/>
      <c r="N795" s="42"/>
      <c r="O795" s="42"/>
      <c r="P795" s="42"/>
      <c r="Q795" s="58"/>
      <c r="R795" s="42"/>
      <c r="S795" s="42"/>
      <c r="T795" s="168"/>
    </row>
    <row r="796" spans="1:20" hidden="1" x14ac:dyDescent="0.25">
      <c r="A796" s="61"/>
      <c r="B796" s="51" t="s">
        <v>13</v>
      </c>
      <c r="C796" s="42"/>
      <c r="D796" s="42"/>
      <c r="E796" s="42"/>
      <c r="F796" s="42">
        <f t="shared" si="388"/>
        <v>0</v>
      </c>
      <c r="G796" s="42"/>
      <c r="H796" s="63">
        <v>16409.580000000002</v>
      </c>
      <c r="I796" s="63">
        <v>2.1419999999999999</v>
      </c>
      <c r="J796" s="42">
        <f t="shared" si="389"/>
        <v>35149.320360000005</v>
      </c>
      <c r="K796" s="42">
        <f t="shared" si="390"/>
        <v>0</v>
      </c>
      <c r="L796" s="42"/>
      <c r="M796" s="42"/>
      <c r="N796" s="42"/>
      <c r="O796" s="42"/>
      <c r="P796" s="42"/>
      <c r="Q796" s="58"/>
      <c r="R796" s="42"/>
      <c r="S796" s="42"/>
      <c r="T796" s="168"/>
    </row>
    <row r="797" spans="1:20" hidden="1" x14ac:dyDescent="0.25">
      <c r="A797" s="61"/>
      <c r="B797" s="61" t="s">
        <v>14</v>
      </c>
      <c r="C797" s="42"/>
      <c r="D797" s="42"/>
      <c r="E797" s="42"/>
      <c r="F797" s="42">
        <f t="shared" si="388"/>
        <v>0</v>
      </c>
      <c r="G797" s="42"/>
      <c r="H797" s="63">
        <v>16409.580000000002</v>
      </c>
      <c r="I797" s="63">
        <v>2.1419999999999999</v>
      </c>
      <c r="J797" s="42">
        <f t="shared" si="389"/>
        <v>35149.320360000005</v>
      </c>
      <c r="K797" s="42">
        <f t="shared" si="390"/>
        <v>0</v>
      </c>
      <c r="L797" s="42"/>
      <c r="M797" s="42"/>
      <c r="N797" s="42"/>
      <c r="O797" s="42"/>
      <c r="P797" s="42"/>
      <c r="Q797" s="58"/>
      <c r="R797" s="42"/>
      <c r="S797" s="42"/>
      <c r="T797" s="168"/>
    </row>
    <row r="798" spans="1:20" hidden="1" x14ac:dyDescent="0.25">
      <c r="A798" s="61"/>
      <c r="B798" s="61" t="s">
        <v>17</v>
      </c>
      <c r="C798" s="42"/>
      <c r="D798" s="42"/>
      <c r="E798" s="42"/>
      <c r="F798" s="42">
        <f t="shared" si="388"/>
        <v>0</v>
      </c>
      <c r="G798" s="42"/>
      <c r="H798" s="63">
        <v>16409.580000000002</v>
      </c>
      <c r="I798" s="63">
        <v>2.1419999999999999</v>
      </c>
      <c r="J798" s="42">
        <f t="shared" si="389"/>
        <v>35149.320360000005</v>
      </c>
      <c r="K798" s="42">
        <f t="shared" si="390"/>
        <v>0</v>
      </c>
      <c r="L798" s="42"/>
      <c r="M798" s="42"/>
      <c r="N798" s="42"/>
      <c r="O798" s="42"/>
      <c r="P798" s="42"/>
      <c r="Q798" s="58"/>
      <c r="R798" s="42"/>
      <c r="S798" s="42"/>
      <c r="T798" s="168"/>
    </row>
    <row r="799" spans="1:20" hidden="1" x14ac:dyDescent="0.25">
      <c r="A799" s="61"/>
      <c r="B799" s="61" t="s">
        <v>14</v>
      </c>
      <c r="C799" s="42"/>
      <c r="D799" s="42"/>
      <c r="E799" s="42"/>
      <c r="F799" s="42">
        <f t="shared" si="388"/>
        <v>0</v>
      </c>
      <c r="G799" s="42"/>
      <c r="H799" s="63">
        <v>16409.580000000002</v>
      </c>
      <c r="I799" s="63">
        <v>2.1419999999999999</v>
      </c>
      <c r="J799" s="42">
        <f t="shared" si="389"/>
        <v>35149.320360000005</v>
      </c>
      <c r="K799" s="42">
        <f t="shared" si="390"/>
        <v>0</v>
      </c>
      <c r="L799" s="42"/>
      <c r="M799" s="42"/>
      <c r="N799" s="42"/>
      <c r="O799" s="42"/>
      <c r="P799" s="42"/>
      <c r="Q799" s="58"/>
      <c r="R799" s="42"/>
      <c r="S799" s="42"/>
      <c r="T799" s="168"/>
    </row>
    <row r="800" spans="1:20" hidden="1" x14ac:dyDescent="0.25">
      <c r="A800" s="65"/>
      <c r="B800" s="51" t="s">
        <v>13</v>
      </c>
      <c r="C800" s="42"/>
      <c r="D800" s="42"/>
      <c r="E800" s="42"/>
      <c r="F800" s="42">
        <f t="shared" si="388"/>
        <v>0</v>
      </c>
      <c r="G800" s="42"/>
      <c r="H800" s="63">
        <v>16409.580000000002</v>
      </c>
      <c r="I800" s="63">
        <v>2.1419999999999999</v>
      </c>
      <c r="J800" s="42">
        <f t="shared" si="389"/>
        <v>35149.320360000005</v>
      </c>
      <c r="K800" s="42">
        <f t="shared" si="390"/>
        <v>0</v>
      </c>
      <c r="L800" s="42"/>
      <c r="M800" s="42"/>
      <c r="N800" s="42"/>
      <c r="O800" s="42"/>
      <c r="P800" s="42"/>
      <c r="Q800" s="58"/>
      <c r="R800" s="42"/>
      <c r="S800" s="42"/>
      <c r="T800" s="168"/>
    </row>
    <row r="801" spans="1:23" s="60" customFormat="1" hidden="1" x14ac:dyDescent="0.25">
      <c r="A801" s="56"/>
      <c r="B801" s="51" t="s">
        <v>27</v>
      </c>
      <c r="C801" s="58"/>
      <c r="D801" s="58"/>
      <c r="E801" s="58"/>
      <c r="F801" s="42">
        <f t="shared" si="388"/>
        <v>0</v>
      </c>
      <c r="G801" s="58"/>
      <c r="H801" s="63">
        <v>16409.580000000002</v>
      </c>
      <c r="I801" s="63">
        <v>2.1419999999999999</v>
      </c>
      <c r="J801" s="42">
        <f t="shared" si="389"/>
        <v>35149.320360000005</v>
      </c>
      <c r="K801" s="42">
        <f t="shared" si="390"/>
        <v>0</v>
      </c>
      <c r="L801" s="58"/>
      <c r="M801" s="42"/>
      <c r="N801" s="58"/>
      <c r="O801" s="42"/>
      <c r="P801" s="42"/>
      <c r="Q801" s="58"/>
      <c r="R801" s="42"/>
      <c r="S801" s="58"/>
      <c r="T801" s="168"/>
      <c r="U801" s="68"/>
      <c r="V801" s="66"/>
      <c r="W801" s="66"/>
    </row>
    <row r="802" spans="1:23" hidden="1" x14ac:dyDescent="0.25">
      <c r="A802" s="61"/>
      <c r="B802" s="51" t="s">
        <v>28</v>
      </c>
      <c r="C802" s="42"/>
      <c r="D802" s="42"/>
      <c r="E802" s="42"/>
      <c r="F802" s="42">
        <f t="shared" si="388"/>
        <v>0</v>
      </c>
      <c r="G802" s="42"/>
      <c r="H802" s="63">
        <v>16409.580000000002</v>
      </c>
      <c r="I802" s="63">
        <v>2.1419999999999999</v>
      </c>
      <c r="J802" s="42">
        <f t="shared" si="389"/>
        <v>35149.320360000005</v>
      </c>
      <c r="K802" s="42">
        <f t="shared" si="390"/>
        <v>0</v>
      </c>
      <c r="L802" s="42"/>
      <c r="M802" s="42"/>
      <c r="N802" s="42"/>
      <c r="O802" s="42"/>
      <c r="P802" s="42"/>
      <c r="Q802" s="58"/>
      <c r="R802" s="42"/>
      <c r="S802" s="42"/>
      <c r="T802" s="168"/>
    </row>
    <row r="803" spans="1:23" hidden="1" x14ac:dyDescent="0.25">
      <c r="A803" s="61"/>
      <c r="B803" s="51" t="s">
        <v>29</v>
      </c>
      <c r="C803" s="42"/>
      <c r="D803" s="42"/>
      <c r="E803" s="42"/>
      <c r="F803" s="42">
        <f t="shared" si="388"/>
        <v>0</v>
      </c>
      <c r="G803" s="42"/>
      <c r="H803" s="63">
        <v>16409.580000000002</v>
      </c>
      <c r="I803" s="63">
        <v>2.1419999999999999</v>
      </c>
      <c r="J803" s="42">
        <f t="shared" si="389"/>
        <v>35149.320360000005</v>
      </c>
      <c r="K803" s="42">
        <f t="shared" si="390"/>
        <v>0</v>
      </c>
      <c r="L803" s="42"/>
      <c r="M803" s="42"/>
      <c r="N803" s="42"/>
      <c r="O803" s="42"/>
      <c r="P803" s="42"/>
      <c r="Q803" s="58"/>
      <c r="R803" s="42"/>
      <c r="S803" s="42"/>
      <c r="T803" s="168"/>
    </row>
    <row r="804" spans="1:23" s="60" customFormat="1" x14ac:dyDescent="0.25">
      <c r="A804" s="56">
        <v>3</v>
      </c>
      <c r="B804" s="8" t="s">
        <v>233</v>
      </c>
      <c r="C804" s="58"/>
      <c r="D804" s="58"/>
      <c r="E804" s="58"/>
      <c r="F804" s="42">
        <f t="shared" si="388"/>
        <v>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42"/>
      <c r="Q804" s="58"/>
      <c r="R804" s="58"/>
      <c r="S804" s="58"/>
      <c r="T804" s="168"/>
      <c r="U804" s="68"/>
      <c r="V804" s="66"/>
      <c r="W804" s="66"/>
    </row>
    <row r="805" spans="1:23" ht="39" hidden="1" x14ac:dyDescent="0.25">
      <c r="A805" s="61" t="s">
        <v>15</v>
      </c>
      <c r="B805" s="51" t="s">
        <v>54</v>
      </c>
      <c r="C805" s="42"/>
      <c r="D805" s="42"/>
      <c r="E805" s="42"/>
      <c r="F805" s="42">
        <f t="shared" si="388"/>
        <v>0</v>
      </c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58"/>
      <c r="R805" s="42"/>
      <c r="S805" s="42"/>
      <c r="T805" s="169"/>
    </row>
    <row r="806" spans="1:23" hidden="1" x14ac:dyDescent="0.25">
      <c r="A806" s="61"/>
      <c r="B806" s="51" t="s">
        <v>27</v>
      </c>
      <c r="C806" s="42"/>
      <c r="D806" s="42"/>
      <c r="E806" s="42"/>
      <c r="F806" s="42">
        <f t="shared" si="388"/>
        <v>0</v>
      </c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58"/>
      <c r="R806" s="42"/>
      <c r="S806" s="42"/>
      <c r="T806" s="169"/>
    </row>
    <row r="807" spans="1:23" hidden="1" x14ac:dyDescent="0.25">
      <c r="A807" s="61"/>
      <c r="B807" s="51" t="s">
        <v>28</v>
      </c>
      <c r="C807" s="42"/>
      <c r="D807" s="42"/>
      <c r="E807" s="42"/>
      <c r="F807" s="42">
        <f t="shared" si="388"/>
        <v>0</v>
      </c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58"/>
      <c r="R807" s="42"/>
      <c r="S807" s="42"/>
      <c r="T807" s="169"/>
    </row>
    <row r="808" spans="1:23" hidden="1" x14ac:dyDescent="0.25">
      <c r="A808" s="61"/>
      <c r="B808" s="51" t="s">
        <v>29</v>
      </c>
      <c r="C808" s="42"/>
      <c r="D808" s="42"/>
      <c r="E808" s="42"/>
      <c r="F808" s="42">
        <f t="shared" si="388"/>
        <v>0</v>
      </c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58"/>
      <c r="R808" s="42"/>
      <c r="S808" s="42"/>
      <c r="T808" s="169"/>
    </row>
    <row r="809" spans="1:23" ht="39" hidden="1" x14ac:dyDescent="0.25">
      <c r="A809" s="61" t="s">
        <v>59</v>
      </c>
      <c r="B809" s="51" t="s">
        <v>68</v>
      </c>
      <c r="C809" s="42"/>
      <c r="D809" s="42"/>
      <c r="E809" s="42"/>
      <c r="F809" s="42">
        <f t="shared" si="388"/>
        <v>0</v>
      </c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58"/>
      <c r="R809" s="42"/>
      <c r="S809" s="42"/>
      <c r="T809" s="169"/>
    </row>
    <row r="810" spans="1:23" hidden="1" x14ac:dyDescent="0.25">
      <c r="A810" s="61"/>
      <c r="B810" s="51" t="s">
        <v>27</v>
      </c>
      <c r="C810" s="42"/>
      <c r="D810" s="42"/>
      <c r="E810" s="42"/>
      <c r="F810" s="42">
        <f t="shared" si="388"/>
        <v>0</v>
      </c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58"/>
      <c r="R810" s="42"/>
      <c r="S810" s="42"/>
      <c r="T810" s="169"/>
    </row>
    <row r="811" spans="1:23" hidden="1" x14ac:dyDescent="0.25">
      <c r="A811" s="61"/>
      <c r="B811" s="51" t="s">
        <v>28</v>
      </c>
      <c r="C811" s="42"/>
      <c r="D811" s="42"/>
      <c r="E811" s="42"/>
      <c r="F811" s="42">
        <f t="shared" si="388"/>
        <v>0</v>
      </c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58"/>
      <c r="R811" s="42"/>
      <c r="S811" s="42"/>
      <c r="T811" s="169"/>
    </row>
    <row r="812" spans="1:23" hidden="1" x14ac:dyDescent="0.25">
      <c r="A812" s="61"/>
      <c r="B812" s="51" t="s">
        <v>29</v>
      </c>
      <c r="C812" s="42"/>
      <c r="D812" s="42"/>
      <c r="E812" s="42"/>
      <c r="F812" s="42">
        <f t="shared" si="388"/>
        <v>0</v>
      </c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58"/>
      <c r="R812" s="42"/>
      <c r="S812" s="42"/>
      <c r="T812" s="169"/>
    </row>
    <row r="813" spans="1:23" ht="39" x14ac:dyDescent="0.25">
      <c r="A813" s="61" t="s">
        <v>245</v>
      </c>
      <c r="B813" s="51" t="s">
        <v>55</v>
      </c>
      <c r="C813" s="42"/>
      <c r="D813" s="42"/>
      <c r="E813" s="42"/>
      <c r="F813" s="42">
        <f t="shared" si="388"/>
        <v>0</v>
      </c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58"/>
      <c r="R813" s="42"/>
      <c r="S813" s="42"/>
      <c r="T813" s="168"/>
    </row>
    <row r="814" spans="1:23" x14ac:dyDescent="0.25">
      <c r="A814" s="61"/>
      <c r="B814" s="51" t="s">
        <v>287</v>
      </c>
      <c r="C814" s="42"/>
      <c r="D814" s="42"/>
      <c r="E814" s="42"/>
      <c r="F814" s="42">
        <f t="shared" si="388"/>
        <v>0</v>
      </c>
      <c r="G814" s="42"/>
      <c r="H814" s="42"/>
      <c r="I814" s="63"/>
      <c r="J814" s="42"/>
      <c r="K814" s="42"/>
      <c r="L814" s="42"/>
      <c r="M814" s="42"/>
      <c r="N814" s="42"/>
      <c r="O814" s="42"/>
      <c r="P814" s="42">
        <f t="shared" ref="P814:P839" si="391">D814+F814+J814+N814</f>
        <v>0</v>
      </c>
      <c r="Q814" s="58"/>
      <c r="R814" s="42">
        <f t="shared" ref="R814:R839" si="392">E814+G814+K814+O814</f>
        <v>0</v>
      </c>
      <c r="S814" s="42"/>
      <c r="T814" s="168"/>
    </row>
    <row r="815" spans="1:23" x14ac:dyDescent="0.25">
      <c r="A815" s="61"/>
      <c r="B815" s="51" t="s">
        <v>28</v>
      </c>
      <c r="C815" s="42"/>
      <c r="D815" s="42"/>
      <c r="E815" s="42"/>
      <c r="F815" s="42">
        <f t="shared" si="388"/>
        <v>0</v>
      </c>
      <c r="G815" s="42"/>
      <c r="H815" s="42"/>
      <c r="I815" s="63"/>
      <c r="J815" s="42"/>
      <c r="K815" s="42"/>
      <c r="L815" s="42"/>
      <c r="M815" s="42"/>
      <c r="N815" s="42"/>
      <c r="O815" s="42"/>
      <c r="P815" s="42">
        <f t="shared" si="391"/>
        <v>0</v>
      </c>
      <c r="Q815" s="58"/>
      <c r="R815" s="42">
        <f t="shared" si="392"/>
        <v>0</v>
      </c>
      <c r="S815" s="42"/>
      <c r="T815" s="168"/>
    </row>
    <row r="816" spans="1:23" x14ac:dyDescent="0.25">
      <c r="A816" s="61"/>
      <c r="B816" s="51" t="s">
        <v>289</v>
      </c>
      <c r="C816" s="42">
        <v>10</v>
      </c>
      <c r="D816" s="42">
        <v>43520</v>
      </c>
      <c r="E816" s="42">
        <f t="shared" ref="E816:E838" si="393">C816*D816</f>
        <v>435200</v>
      </c>
      <c r="F816" s="42">
        <f t="shared" si="388"/>
        <v>15406</v>
      </c>
      <c r="G816" s="42">
        <f t="shared" ref="G816" si="394">C816*F816</f>
        <v>154060</v>
      </c>
      <c r="H816" s="63">
        <v>17881.599999999999</v>
      </c>
      <c r="I816" s="63">
        <v>2.1419999999999999</v>
      </c>
      <c r="J816" s="42">
        <f t="shared" ref="J816" si="395">H816*I816</f>
        <v>38302.387199999997</v>
      </c>
      <c r="K816" s="42">
        <f t="shared" ref="K816" si="396">ROUND(C816*J816,0)</f>
        <v>383024</v>
      </c>
      <c r="L816" s="42"/>
      <c r="M816" s="42"/>
      <c r="N816" s="42"/>
      <c r="O816" s="42"/>
      <c r="P816" s="42">
        <f t="shared" si="391"/>
        <v>97228.387199999997</v>
      </c>
      <c r="Q816" s="58"/>
      <c r="R816" s="42">
        <f t="shared" si="392"/>
        <v>972284</v>
      </c>
      <c r="S816" s="42"/>
      <c r="T816" s="168"/>
    </row>
    <row r="817" spans="1:20" ht="39" x14ac:dyDescent="0.25">
      <c r="A817" s="61" t="s">
        <v>61</v>
      </c>
      <c r="B817" s="51" t="s">
        <v>56</v>
      </c>
      <c r="C817" s="42"/>
      <c r="D817" s="42"/>
      <c r="E817" s="42"/>
      <c r="F817" s="42">
        <f t="shared" si="388"/>
        <v>0</v>
      </c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58"/>
      <c r="R817" s="42"/>
      <c r="S817" s="42"/>
      <c r="T817" s="168"/>
    </row>
    <row r="818" spans="1:20" x14ac:dyDescent="0.25">
      <c r="A818" s="61"/>
      <c r="B818" s="51" t="s">
        <v>287</v>
      </c>
      <c r="C818" s="42">
        <v>15</v>
      </c>
      <c r="D818" s="42">
        <v>67698</v>
      </c>
      <c r="E818" s="42">
        <f t="shared" si="393"/>
        <v>1015470</v>
      </c>
      <c r="F818" s="42">
        <f t="shared" si="388"/>
        <v>23965</v>
      </c>
      <c r="G818" s="42">
        <f t="shared" ref="G818" si="397">C818*F818</f>
        <v>359475</v>
      </c>
      <c r="H818" s="63">
        <v>17881.599999999999</v>
      </c>
      <c r="I818" s="63">
        <v>2.1419999999999999</v>
      </c>
      <c r="J818" s="42">
        <f t="shared" ref="J818" si="398">H818*I818</f>
        <v>38302.387199999997</v>
      </c>
      <c r="K818" s="42">
        <f>ROUND(C818*J818,0)+129604</f>
        <v>704140</v>
      </c>
      <c r="L818" s="42"/>
      <c r="M818" s="42"/>
      <c r="N818" s="42"/>
      <c r="O818" s="42"/>
      <c r="P818" s="42">
        <f t="shared" si="391"/>
        <v>129965.3872</v>
      </c>
      <c r="Q818" s="58"/>
      <c r="R818" s="42">
        <f t="shared" si="392"/>
        <v>2079085</v>
      </c>
      <c r="S818" s="42"/>
      <c r="T818" s="168"/>
    </row>
    <row r="819" spans="1:20" x14ac:dyDescent="0.25">
      <c r="A819" s="61"/>
      <c r="B819" s="51" t="s">
        <v>28</v>
      </c>
      <c r="C819" s="42">
        <v>8</v>
      </c>
      <c r="D819" s="42">
        <v>50772</v>
      </c>
      <c r="E819" s="42">
        <f t="shared" si="393"/>
        <v>406176</v>
      </c>
      <c r="F819" s="42">
        <f t="shared" si="388"/>
        <v>17973</v>
      </c>
      <c r="G819" s="42">
        <f t="shared" ref="G819:G820" si="399">C819*F819</f>
        <v>143784</v>
      </c>
      <c r="H819" s="63">
        <v>17881.599999999999</v>
      </c>
      <c r="I819" s="63">
        <v>2.1419999999999999</v>
      </c>
      <c r="J819" s="42">
        <f t="shared" ref="J819:J838" si="400">H819*I819</f>
        <v>38302.387199999997</v>
      </c>
      <c r="K819" s="42">
        <f t="shared" ref="K819:K838" si="401">ROUND(C819*J819,0)</f>
        <v>306419</v>
      </c>
      <c r="L819" s="42"/>
      <c r="M819" s="42"/>
      <c r="N819" s="42"/>
      <c r="O819" s="42"/>
      <c r="P819" s="42">
        <f t="shared" si="391"/>
        <v>107047.3872</v>
      </c>
      <c r="Q819" s="58"/>
      <c r="R819" s="42">
        <f t="shared" si="392"/>
        <v>856379</v>
      </c>
      <c r="S819" s="42"/>
      <c r="T819" s="168"/>
    </row>
    <row r="820" spans="1:20" x14ac:dyDescent="0.25">
      <c r="A820" s="61"/>
      <c r="B820" s="51" t="s">
        <v>289</v>
      </c>
      <c r="C820" s="42">
        <v>3</v>
      </c>
      <c r="D820" s="42">
        <v>50772</v>
      </c>
      <c r="E820" s="42">
        <f t="shared" si="393"/>
        <v>152316</v>
      </c>
      <c r="F820" s="42">
        <f t="shared" si="388"/>
        <v>17973</v>
      </c>
      <c r="G820" s="42">
        <f t="shared" si="399"/>
        <v>53919</v>
      </c>
      <c r="H820" s="63">
        <v>17881.599999999999</v>
      </c>
      <c r="I820" s="63">
        <v>2.1419999999999999</v>
      </c>
      <c r="J820" s="42">
        <f t="shared" si="400"/>
        <v>38302.387199999997</v>
      </c>
      <c r="K820" s="42">
        <f t="shared" si="401"/>
        <v>114907</v>
      </c>
      <c r="L820" s="42"/>
      <c r="M820" s="42"/>
      <c r="N820" s="42"/>
      <c r="O820" s="42"/>
      <c r="P820" s="42">
        <f t="shared" si="391"/>
        <v>107047.3872</v>
      </c>
      <c r="Q820" s="58"/>
      <c r="R820" s="42">
        <f t="shared" si="392"/>
        <v>321142</v>
      </c>
      <c r="S820" s="42"/>
      <c r="T820" s="168"/>
    </row>
    <row r="821" spans="1:20" ht="51.75" hidden="1" x14ac:dyDescent="0.25">
      <c r="A821" s="61" t="s">
        <v>62</v>
      </c>
      <c r="B821" s="51" t="s">
        <v>57</v>
      </c>
      <c r="C821" s="42"/>
      <c r="D821" s="42"/>
      <c r="E821" s="42">
        <f t="shared" si="393"/>
        <v>0</v>
      </c>
      <c r="F821" s="42">
        <f t="shared" si="388"/>
        <v>0</v>
      </c>
      <c r="G821" s="42"/>
      <c r="H821" s="63">
        <v>16409.580000000002</v>
      </c>
      <c r="I821" s="63">
        <v>2.0310000000000001</v>
      </c>
      <c r="J821" s="42">
        <f t="shared" si="400"/>
        <v>33327.856980000004</v>
      </c>
      <c r="K821" s="42">
        <f t="shared" si="401"/>
        <v>0</v>
      </c>
      <c r="L821" s="42"/>
      <c r="M821" s="42"/>
      <c r="N821" s="42"/>
      <c r="O821" s="42"/>
      <c r="P821" s="42">
        <f t="shared" si="391"/>
        <v>33327.856980000004</v>
      </c>
      <c r="Q821" s="58"/>
      <c r="R821" s="42">
        <f t="shared" si="392"/>
        <v>0</v>
      </c>
      <c r="S821" s="42"/>
      <c r="T821" s="168"/>
    </row>
    <row r="822" spans="1:20" hidden="1" x14ac:dyDescent="0.25">
      <c r="A822" s="61"/>
      <c r="B822" s="51" t="s">
        <v>27</v>
      </c>
      <c r="C822" s="42"/>
      <c r="D822" s="42"/>
      <c r="E822" s="42">
        <f t="shared" si="393"/>
        <v>0</v>
      </c>
      <c r="F822" s="42">
        <f t="shared" si="388"/>
        <v>0</v>
      </c>
      <c r="G822" s="42"/>
      <c r="H822" s="63">
        <v>16409.580000000002</v>
      </c>
      <c r="I822" s="63">
        <v>2.0310000000000001</v>
      </c>
      <c r="J822" s="42">
        <f t="shared" si="400"/>
        <v>33327.856980000004</v>
      </c>
      <c r="K822" s="42">
        <f t="shared" si="401"/>
        <v>0</v>
      </c>
      <c r="L822" s="42"/>
      <c r="M822" s="42"/>
      <c r="N822" s="42"/>
      <c r="O822" s="42"/>
      <c r="P822" s="42">
        <f t="shared" si="391"/>
        <v>33327.856980000004</v>
      </c>
      <c r="Q822" s="58"/>
      <c r="R822" s="42">
        <f t="shared" si="392"/>
        <v>0</v>
      </c>
      <c r="S822" s="42"/>
      <c r="T822" s="168"/>
    </row>
    <row r="823" spans="1:20" hidden="1" x14ac:dyDescent="0.25">
      <c r="A823" s="61"/>
      <c r="B823" s="51" t="s">
        <v>28</v>
      </c>
      <c r="C823" s="42"/>
      <c r="D823" s="42"/>
      <c r="E823" s="42">
        <f t="shared" si="393"/>
        <v>0</v>
      </c>
      <c r="F823" s="42">
        <f t="shared" si="388"/>
        <v>0</v>
      </c>
      <c r="G823" s="42"/>
      <c r="H823" s="63">
        <v>16409.580000000002</v>
      </c>
      <c r="I823" s="63">
        <v>2.0310000000000001</v>
      </c>
      <c r="J823" s="42">
        <f t="shared" si="400"/>
        <v>33327.856980000004</v>
      </c>
      <c r="K823" s="42">
        <f t="shared" si="401"/>
        <v>0</v>
      </c>
      <c r="L823" s="42"/>
      <c r="M823" s="42"/>
      <c r="N823" s="42"/>
      <c r="O823" s="42"/>
      <c r="P823" s="42">
        <f t="shared" si="391"/>
        <v>33327.856980000004</v>
      </c>
      <c r="Q823" s="58"/>
      <c r="R823" s="42">
        <f t="shared" si="392"/>
        <v>0</v>
      </c>
      <c r="S823" s="42"/>
      <c r="T823" s="168"/>
    </row>
    <row r="824" spans="1:20" hidden="1" x14ac:dyDescent="0.25">
      <c r="A824" s="61"/>
      <c r="B824" s="51" t="s">
        <v>29</v>
      </c>
      <c r="C824" s="42"/>
      <c r="D824" s="42"/>
      <c r="E824" s="42">
        <f t="shared" si="393"/>
        <v>0</v>
      </c>
      <c r="F824" s="42">
        <f t="shared" si="388"/>
        <v>0</v>
      </c>
      <c r="G824" s="42"/>
      <c r="H824" s="63">
        <v>16409.580000000002</v>
      </c>
      <c r="I824" s="63">
        <v>2.0310000000000001</v>
      </c>
      <c r="J824" s="42">
        <f t="shared" si="400"/>
        <v>33327.856980000004</v>
      </c>
      <c r="K824" s="42">
        <f t="shared" si="401"/>
        <v>0</v>
      </c>
      <c r="L824" s="42"/>
      <c r="M824" s="42"/>
      <c r="N824" s="42"/>
      <c r="O824" s="42"/>
      <c r="P824" s="42">
        <f t="shared" si="391"/>
        <v>33327.856980000004</v>
      </c>
      <c r="Q824" s="58"/>
      <c r="R824" s="42">
        <f t="shared" si="392"/>
        <v>0</v>
      </c>
      <c r="S824" s="42"/>
      <c r="T824" s="168"/>
    </row>
    <row r="825" spans="1:20" ht="51.75" hidden="1" x14ac:dyDescent="0.25">
      <c r="A825" s="61" t="s">
        <v>63</v>
      </c>
      <c r="B825" s="51" t="s">
        <v>58</v>
      </c>
      <c r="C825" s="42"/>
      <c r="D825" s="42"/>
      <c r="E825" s="42">
        <f t="shared" si="393"/>
        <v>0</v>
      </c>
      <c r="F825" s="42">
        <f t="shared" si="388"/>
        <v>0</v>
      </c>
      <c r="G825" s="42"/>
      <c r="H825" s="63">
        <v>16409.580000000002</v>
      </c>
      <c r="I825" s="63">
        <v>2.0310000000000001</v>
      </c>
      <c r="J825" s="42">
        <f t="shared" si="400"/>
        <v>33327.856980000004</v>
      </c>
      <c r="K825" s="42">
        <f t="shared" si="401"/>
        <v>0</v>
      </c>
      <c r="L825" s="42"/>
      <c r="M825" s="42"/>
      <c r="N825" s="42"/>
      <c r="O825" s="42"/>
      <c r="P825" s="42">
        <f t="shared" si="391"/>
        <v>33327.856980000004</v>
      </c>
      <c r="Q825" s="58"/>
      <c r="R825" s="42">
        <f t="shared" si="392"/>
        <v>0</v>
      </c>
      <c r="S825" s="42"/>
      <c r="T825" s="168"/>
    </row>
    <row r="826" spans="1:20" hidden="1" x14ac:dyDescent="0.25">
      <c r="A826" s="61"/>
      <c r="B826" s="51" t="s">
        <v>27</v>
      </c>
      <c r="C826" s="42"/>
      <c r="D826" s="42"/>
      <c r="E826" s="42">
        <f t="shared" si="393"/>
        <v>0</v>
      </c>
      <c r="F826" s="42">
        <f t="shared" si="388"/>
        <v>0</v>
      </c>
      <c r="G826" s="42"/>
      <c r="H826" s="63">
        <v>16409.580000000002</v>
      </c>
      <c r="I826" s="63">
        <v>2.0310000000000001</v>
      </c>
      <c r="J826" s="42">
        <f t="shared" si="400"/>
        <v>33327.856980000004</v>
      </c>
      <c r="K826" s="42">
        <f t="shared" si="401"/>
        <v>0</v>
      </c>
      <c r="L826" s="42"/>
      <c r="M826" s="42"/>
      <c r="N826" s="42"/>
      <c r="O826" s="42"/>
      <c r="P826" s="42">
        <f t="shared" si="391"/>
        <v>33327.856980000004</v>
      </c>
      <c r="Q826" s="58"/>
      <c r="R826" s="42">
        <f t="shared" si="392"/>
        <v>0</v>
      </c>
      <c r="S826" s="42"/>
      <c r="T826" s="168"/>
    </row>
    <row r="827" spans="1:20" hidden="1" x14ac:dyDescent="0.25">
      <c r="A827" s="61"/>
      <c r="B827" s="51" t="s">
        <v>28</v>
      </c>
      <c r="C827" s="42"/>
      <c r="D827" s="42"/>
      <c r="E827" s="42">
        <f t="shared" si="393"/>
        <v>0</v>
      </c>
      <c r="F827" s="42">
        <f t="shared" si="388"/>
        <v>0</v>
      </c>
      <c r="G827" s="42"/>
      <c r="H827" s="63">
        <v>16409.580000000002</v>
      </c>
      <c r="I827" s="63">
        <v>2.0310000000000001</v>
      </c>
      <c r="J827" s="42">
        <f t="shared" si="400"/>
        <v>33327.856980000004</v>
      </c>
      <c r="K827" s="42">
        <f t="shared" si="401"/>
        <v>0</v>
      </c>
      <c r="L827" s="42"/>
      <c r="M827" s="42"/>
      <c r="N827" s="42"/>
      <c r="O827" s="42"/>
      <c r="P827" s="42">
        <f t="shared" si="391"/>
        <v>33327.856980000004</v>
      </c>
      <c r="Q827" s="58"/>
      <c r="R827" s="42">
        <f t="shared" si="392"/>
        <v>0</v>
      </c>
      <c r="S827" s="42"/>
      <c r="T827" s="168"/>
    </row>
    <row r="828" spans="1:20" hidden="1" x14ac:dyDescent="0.25">
      <c r="A828" s="61"/>
      <c r="B828" s="51" t="s">
        <v>29</v>
      </c>
      <c r="C828" s="42"/>
      <c r="D828" s="42"/>
      <c r="E828" s="42">
        <f t="shared" si="393"/>
        <v>0</v>
      </c>
      <c r="F828" s="42">
        <f t="shared" si="388"/>
        <v>0</v>
      </c>
      <c r="G828" s="42"/>
      <c r="H828" s="63">
        <v>16409.580000000002</v>
      </c>
      <c r="I828" s="63">
        <v>2.0310000000000001</v>
      </c>
      <c r="J828" s="42">
        <f t="shared" si="400"/>
        <v>33327.856980000004</v>
      </c>
      <c r="K828" s="42">
        <f t="shared" si="401"/>
        <v>0</v>
      </c>
      <c r="L828" s="42"/>
      <c r="M828" s="42"/>
      <c r="N828" s="42"/>
      <c r="O828" s="42"/>
      <c r="P828" s="42">
        <f t="shared" si="391"/>
        <v>33327.856980000004</v>
      </c>
      <c r="Q828" s="58"/>
      <c r="R828" s="42">
        <f t="shared" si="392"/>
        <v>0</v>
      </c>
      <c r="S828" s="42"/>
      <c r="T828" s="168"/>
    </row>
    <row r="829" spans="1:20" ht="39" hidden="1" x14ac:dyDescent="0.25">
      <c r="A829" s="61" t="s">
        <v>64</v>
      </c>
      <c r="B829" s="51" t="s">
        <v>30</v>
      </c>
      <c r="C829" s="42"/>
      <c r="D829" s="42"/>
      <c r="E829" s="42">
        <f t="shared" si="393"/>
        <v>0</v>
      </c>
      <c r="F829" s="42">
        <f t="shared" si="388"/>
        <v>0</v>
      </c>
      <c r="G829" s="42"/>
      <c r="H829" s="63">
        <v>16409.580000000002</v>
      </c>
      <c r="I829" s="63">
        <v>2.0310000000000001</v>
      </c>
      <c r="J829" s="42">
        <f t="shared" si="400"/>
        <v>33327.856980000004</v>
      </c>
      <c r="K829" s="42">
        <f t="shared" si="401"/>
        <v>0</v>
      </c>
      <c r="L829" s="42"/>
      <c r="M829" s="42"/>
      <c r="N829" s="42"/>
      <c r="O829" s="42"/>
      <c r="P829" s="42">
        <f t="shared" si="391"/>
        <v>33327.856980000004</v>
      </c>
      <c r="Q829" s="58"/>
      <c r="R829" s="42">
        <f t="shared" si="392"/>
        <v>0</v>
      </c>
      <c r="S829" s="42"/>
      <c r="T829" s="168"/>
    </row>
    <row r="830" spans="1:20" hidden="1" x14ac:dyDescent="0.25">
      <c r="A830" s="61"/>
      <c r="B830" s="51" t="s">
        <v>27</v>
      </c>
      <c r="C830" s="42"/>
      <c r="D830" s="42"/>
      <c r="E830" s="42">
        <f t="shared" si="393"/>
        <v>0</v>
      </c>
      <c r="F830" s="42">
        <f t="shared" si="388"/>
        <v>0</v>
      </c>
      <c r="G830" s="42"/>
      <c r="H830" s="63">
        <v>16409.580000000002</v>
      </c>
      <c r="I830" s="63">
        <v>2.0310000000000001</v>
      </c>
      <c r="J830" s="42">
        <f t="shared" si="400"/>
        <v>33327.856980000004</v>
      </c>
      <c r="K830" s="42">
        <f t="shared" si="401"/>
        <v>0</v>
      </c>
      <c r="L830" s="42"/>
      <c r="M830" s="42"/>
      <c r="N830" s="42"/>
      <c r="O830" s="42"/>
      <c r="P830" s="42">
        <f t="shared" si="391"/>
        <v>33327.856980000004</v>
      </c>
      <c r="Q830" s="58"/>
      <c r="R830" s="42">
        <f t="shared" si="392"/>
        <v>0</v>
      </c>
      <c r="S830" s="42"/>
      <c r="T830" s="168"/>
    </row>
    <row r="831" spans="1:20" hidden="1" x14ac:dyDescent="0.25">
      <c r="A831" s="61"/>
      <c r="B831" s="51" t="s">
        <v>28</v>
      </c>
      <c r="C831" s="42"/>
      <c r="D831" s="42"/>
      <c r="E831" s="42">
        <f t="shared" si="393"/>
        <v>0</v>
      </c>
      <c r="F831" s="42">
        <f t="shared" si="388"/>
        <v>0</v>
      </c>
      <c r="G831" s="42"/>
      <c r="H831" s="63">
        <v>16409.580000000002</v>
      </c>
      <c r="I831" s="63">
        <v>2.0310000000000001</v>
      </c>
      <c r="J831" s="42">
        <f t="shared" si="400"/>
        <v>33327.856980000004</v>
      </c>
      <c r="K831" s="42">
        <f t="shared" si="401"/>
        <v>0</v>
      </c>
      <c r="L831" s="42"/>
      <c r="M831" s="42"/>
      <c r="N831" s="42"/>
      <c r="O831" s="42"/>
      <c r="P831" s="42">
        <f t="shared" si="391"/>
        <v>33327.856980000004</v>
      </c>
      <c r="Q831" s="58"/>
      <c r="R831" s="42">
        <f t="shared" si="392"/>
        <v>0</v>
      </c>
      <c r="S831" s="42"/>
      <c r="T831" s="168"/>
    </row>
    <row r="832" spans="1:20" hidden="1" x14ac:dyDescent="0.25">
      <c r="A832" s="61"/>
      <c r="B832" s="51" t="s">
        <v>29</v>
      </c>
      <c r="C832" s="42"/>
      <c r="D832" s="42"/>
      <c r="E832" s="42">
        <f t="shared" si="393"/>
        <v>0</v>
      </c>
      <c r="F832" s="42">
        <f t="shared" si="388"/>
        <v>0</v>
      </c>
      <c r="G832" s="42"/>
      <c r="H832" s="63">
        <v>16409.580000000002</v>
      </c>
      <c r="I832" s="63">
        <v>2.0310000000000001</v>
      </c>
      <c r="J832" s="42">
        <f t="shared" si="400"/>
        <v>33327.856980000004</v>
      </c>
      <c r="K832" s="42">
        <f t="shared" si="401"/>
        <v>0</v>
      </c>
      <c r="L832" s="42"/>
      <c r="M832" s="42"/>
      <c r="N832" s="42"/>
      <c r="O832" s="42"/>
      <c r="P832" s="42">
        <f t="shared" si="391"/>
        <v>33327.856980000004</v>
      </c>
      <c r="Q832" s="58"/>
      <c r="R832" s="42">
        <f t="shared" si="392"/>
        <v>0</v>
      </c>
      <c r="S832" s="42"/>
      <c r="T832" s="168"/>
    </row>
    <row r="833" spans="1:23" ht="39" hidden="1" x14ac:dyDescent="0.25">
      <c r="A833" s="61"/>
      <c r="B833" s="51" t="s">
        <v>9</v>
      </c>
      <c r="C833" s="42"/>
      <c r="D833" s="42"/>
      <c r="E833" s="42">
        <f t="shared" si="393"/>
        <v>0</v>
      </c>
      <c r="F833" s="42">
        <f t="shared" si="388"/>
        <v>0</v>
      </c>
      <c r="G833" s="42"/>
      <c r="H833" s="63">
        <v>16409.580000000002</v>
      </c>
      <c r="I833" s="63">
        <v>2.0310000000000001</v>
      </c>
      <c r="J833" s="42">
        <f t="shared" si="400"/>
        <v>33327.856980000004</v>
      </c>
      <c r="K833" s="42">
        <f t="shared" si="401"/>
        <v>0</v>
      </c>
      <c r="L833" s="42"/>
      <c r="M833" s="42"/>
      <c r="N833" s="42"/>
      <c r="O833" s="42"/>
      <c r="P833" s="42">
        <f t="shared" si="391"/>
        <v>33327.856980000004</v>
      </c>
      <c r="Q833" s="58"/>
      <c r="R833" s="42">
        <f t="shared" si="392"/>
        <v>0</v>
      </c>
      <c r="S833" s="42"/>
      <c r="T833" s="168"/>
    </row>
    <row r="834" spans="1:23" ht="39" hidden="1" x14ac:dyDescent="0.25">
      <c r="A834" s="61"/>
      <c r="B834" s="51" t="s">
        <v>11</v>
      </c>
      <c r="C834" s="42"/>
      <c r="D834" s="42"/>
      <c r="E834" s="42">
        <f t="shared" si="393"/>
        <v>0</v>
      </c>
      <c r="F834" s="42">
        <f t="shared" si="388"/>
        <v>0</v>
      </c>
      <c r="G834" s="42"/>
      <c r="H834" s="63">
        <v>16409.580000000002</v>
      </c>
      <c r="I834" s="63">
        <v>2.0310000000000001</v>
      </c>
      <c r="J834" s="42">
        <f t="shared" si="400"/>
        <v>33327.856980000004</v>
      </c>
      <c r="K834" s="42">
        <f t="shared" si="401"/>
        <v>0</v>
      </c>
      <c r="L834" s="42"/>
      <c r="M834" s="42"/>
      <c r="N834" s="42"/>
      <c r="O834" s="42"/>
      <c r="P834" s="42">
        <f t="shared" si="391"/>
        <v>33327.856980000004</v>
      </c>
      <c r="Q834" s="58"/>
      <c r="R834" s="42">
        <f t="shared" si="392"/>
        <v>0</v>
      </c>
      <c r="S834" s="42"/>
      <c r="T834" s="168"/>
    </row>
    <row r="835" spans="1:23" hidden="1" x14ac:dyDescent="0.25">
      <c r="A835" s="61"/>
      <c r="B835" s="51" t="s">
        <v>13</v>
      </c>
      <c r="C835" s="42"/>
      <c r="D835" s="42"/>
      <c r="E835" s="42">
        <f t="shared" si="393"/>
        <v>0</v>
      </c>
      <c r="F835" s="42">
        <f t="shared" si="388"/>
        <v>0</v>
      </c>
      <c r="G835" s="42"/>
      <c r="H835" s="63">
        <v>16409.580000000002</v>
      </c>
      <c r="I835" s="63">
        <v>2.0310000000000001</v>
      </c>
      <c r="J835" s="42">
        <f t="shared" si="400"/>
        <v>33327.856980000004</v>
      </c>
      <c r="K835" s="42">
        <f t="shared" si="401"/>
        <v>0</v>
      </c>
      <c r="L835" s="42"/>
      <c r="M835" s="42"/>
      <c r="N835" s="42"/>
      <c r="O835" s="42"/>
      <c r="P835" s="42">
        <f t="shared" si="391"/>
        <v>33327.856980000004</v>
      </c>
      <c r="Q835" s="58"/>
      <c r="R835" s="42">
        <f t="shared" si="392"/>
        <v>0</v>
      </c>
      <c r="S835" s="42"/>
      <c r="T835" s="168"/>
    </row>
    <row r="836" spans="1:23" hidden="1" x14ac:dyDescent="0.25">
      <c r="A836" s="61"/>
      <c r="B836" s="61" t="s">
        <v>14</v>
      </c>
      <c r="C836" s="42"/>
      <c r="D836" s="42"/>
      <c r="E836" s="42">
        <f t="shared" si="393"/>
        <v>0</v>
      </c>
      <c r="F836" s="42">
        <f t="shared" si="388"/>
        <v>0</v>
      </c>
      <c r="G836" s="42"/>
      <c r="H836" s="63">
        <v>16409.580000000002</v>
      </c>
      <c r="I836" s="63">
        <v>2.0310000000000001</v>
      </c>
      <c r="J836" s="42">
        <f t="shared" si="400"/>
        <v>33327.856980000004</v>
      </c>
      <c r="K836" s="42">
        <f t="shared" si="401"/>
        <v>0</v>
      </c>
      <c r="L836" s="42"/>
      <c r="M836" s="42"/>
      <c r="N836" s="42"/>
      <c r="O836" s="42"/>
      <c r="P836" s="42">
        <f t="shared" si="391"/>
        <v>33327.856980000004</v>
      </c>
      <c r="Q836" s="58"/>
      <c r="R836" s="42">
        <f t="shared" si="392"/>
        <v>0</v>
      </c>
      <c r="S836" s="42"/>
      <c r="T836" s="168"/>
    </row>
    <row r="837" spans="1:23" hidden="1" x14ac:dyDescent="0.25">
      <c r="A837" s="61"/>
      <c r="B837" s="61" t="s">
        <v>17</v>
      </c>
      <c r="C837" s="42"/>
      <c r="D837" s="42"/>
      <c r="E837" s="42">
        <f t="shared" si="393"/>
        <v>0</v>
      </c>
      <c r="F837" s="42">
        <f t="shared" si="388"/>
        <v>0</v>
      </c>
      <c r="G837" s="42"/>
      <c r="H837" s="63">
        <v>16409.580000000002</v>
      </c>
      <c r="I837" s="63">
        <v>2.0310000000000001</v>
      </c>
      <c r="J837" s="42">
        <f t="shared" si="400"/>
        <v>33327.856980000004</v>
      </c>
      <c r="K837" s="42">
        <f t="shared" si="401"/>
        <v>0</v>
      </c>
      <c r="L837" s="42"/>
      <c r="M837" s="42"/>
      <c r="N837" s="42"/>
      <c r="O837" s="42"/>
      <c r="P837" s="42">
        <f t="shared" si="391"/>
        <v>33327.856980000004</v>
      </c>
      <c r="Q837" s="58"/>
      <c r="R837" s="42">
        <f t="shared" si="392"/>
        <v>0</v>
      </c>
      <c r="S837" s="42"/>
      <c r="T837" s="168"/>
    </row>
    <row r="838" spans="1:23" hidden="1" x14ac:dyDescent="0.25">
      <c r="A838" s="61"/>
      <c r="B838" s="61" t="s">
        <v>14</v>
      </c>
      <c r="C838" s="42"/>
      <c r="D838" s="42"/>
      <c r="E838" s="42">
        <f t="shared" si="393"/>
        <v>0</v>
      </c>
      <c r="F838" s="42">
        <f t="shared" si="388"/>
        <v>0</v>
      </c>
      <c r="G838" s="42"/>
      <c r="H838" s="63">
        <v>16409.580000000002</v>
      </c>
      <c r="I838" s="63">
        <v>2.0310000000000001</v>
      </c>
      <c r="J838" s="42">
        <f t="shared" si="400"/>
        <v>33327.856980000004</v>
      </c>
      <c r="K838" s="42">
        <f t="shared" si="401"/>
        <v>0</v>
      </c>
      <c r="L838" s="42"/>
      <c r="M838" s="42"/>
      <c r="N838" s="42"/>
      <c r="O838" s="42"/>
      <c r="P838" s="42">
        <f t="shared" si="391"/>
        <v>33327.856980000004</v>
      </c>
      <c r="Q838" s="58"/>
      <c r="R838" s="42">
        <f t="shared" si="392"/>
        <v>0</v>
      </c>
      <c r="S838" s="42"/>
      <c r="T838" s="168"/>
    </row>
    <row r="839" spans="1:23" x14ac:dyDescent="0.25">
      <c r="A839" s="65"/>
      <c r="B839" s="51" t="s">
        <v>13</v>
      </c>
      <c r="C839" s="42">
        <v>71</v>
      </c>
      <c r="D839" s="42"/>
      <c r="E839" s="42"/>
      <c r="F839" s="42"/>
      <c r="G839" s="42"/>
      <c r="H839" s="42"/>
      <c r="I839" s="42"/>
      <c r="J839" s="42"/>
      <c r="K839" s="42"/>
      <c r="L839" s="63">
        <v>4769.12</v>
      </c>
      <c r="M839" s="63">
        <v>1.45</v>
      </c>
      <c r="N839" s="42">
        <f t="shared" ref="N839" si="402">L839*M839</f>
        <v>6915.2239999999993</v>
      </c>
      <c r="O839" s="42">
        <f t="shared" ref="O839" si="403">ROUND(C839*N839,0)</f>
        <v>490981</v>
      </c>
      <c r="P839" s="42">
        <f t="shared" si="391"/>
        <v>6915.2239999999993</v>
      </c>
      <c r="Q839" s="58"/>
      <c r="R839" s="42">
        <f t="shared" si="392"/>
        <v>490981</v>
      </c>
      <c r="S839" s="42"/>
      <c r="T839" s="168"/>
    </row>
    <row r="840" spans="1:23" s="60" customFormat="1" hidden="1" x14ac:dyDescent="0.25">
      <c r="A840" s="56"/>
      <c r="B840" s="51" t="s">
        <v>27</v>
      </c>
      <c r="C840" s="58"/>
      <c r="D840" s="58"/>
      <c r="E840" s="58"/>
      <c r="F840" s="42"/>
      <c r="G840" s="58"/>
      <c r="H840" s="58"/>
      <c r="I840" s="58"/>
      <c r="J840" s="42"/>
      <c r="K840" s="42"/>
      <c r="L840" s="58"/>
      <c r="M840" s="42"/>
      <c r="N840" s="42"/>
      <c r="O840" s="42"/>
      <c r="P840" s="42"/>
      <c r="Q840" s="58"/>
      <c r="R840" s="42"/>
      <c r="S840" s="58"/>
      <c r="T840" s="168"/>
      <c r="U840" s="68"/>
      <c r="V840" s="66"/>
      <c r="W840" s="66"/>
    </row>
    <row r="841" spans="1:23" hidden="1" x14ac:dyDescent="0.25">
      <c r="A841" s="61"/>
      <c r="B841" s="51" t="s">
        <v>28</v>
      </c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58"/>
      <c r="R841" s="42"/>
      <c r="S841" s="42"/>
      <c r="T841" s="168"/>
    </row>
    <row r="842" spans="1:23" hidden="1" x14ac:dyDescent="0.25">
      <c r="A842" s="90"/>
      <c r="B842" s="91" t="s">
        <v>29</v>
      </c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3"/>
      <c r="R842" s="92"/>
      <c r="S842" s="92"/>
      <c r="T842" s="171"/>
    </row>
    <row r="843" spans="1:23" s="66" customFormat="1" x14ac:dyDescent="0.25">
      <c r="A843" s="97"/>
      <c r="B843" s="100" t="s">
        <v>80</v>
      </c>
      <c r="C843" s="98">
        <f>C728+C729+C730+C816+C818+C819+C820</f>
        <v>71</v>
      </c>
      <c r="D843" s="98"/>
      <c r="E843" s="98">
        <f>E728+E729+E730+E816+E818+E819+E820+E839</f>
        <v>3946000</v>
      </c>
      <c r="F843" s="98"/>
      <c r="G843" s="98">
        <f>G728+G729+G730+G816+G818+G819+G820+G839</f>
        <v>1383000</v>
      </c>
      <c r="H843" s="98"/>
      <c r="I843" s="98"/>
      <c r="J843" s="98"/>
      <c r="K843" s="98">
        <f>K728+K729+K730+K816+K818+K819+K820+K839</f>
        <v>2850019</v>
      </c>
      <c r="L843" s="98"/>
      <c r="M843" s="98"/>
      <c r="N843" s="98"/>
      <c r="O843" s="98">
        <f>O728+O729+O730+O816+O818+O819+O820+O839</f>
        <v>490981</v>
      </c>
      <c r="P843" s="48"/>
      <c r="Q843" s="75"/>
      <c r="R843" s="98">
        <f>R728+R729+R730+R816+R818+R819+R820+R839</f>
        <v>8670000</v>
      </c>
      <c r="S843" s="98">
        <v>54000</v>
      </c>
      <c r="T843" s="101">
        <f>R843+S843</f>
        <v>8724000</v>
      </c>
      <c r="U843" s="102"/>
      <c r="V843" s="180"/>
    </row>
    <row r="844" spans="1:23" s="60" customFormat="1" x14ac:dyDescent="0.25">
      <c r="A844" s="95">
        <v>25</v>
      </c>
      <c r="B844" s="96" t="s">
        <v>81</v>
      </c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0"/>
      <c r="Q844" s="71"/>
      <c r="R844" s="71"/>
      <c r="S844" s="71"/>
      <c r="T844" s="172"/>
      <c r="U844" s="68"/>
      <c r="V844" s="66"/>
      <c r="W844" s="66"/>
    </row>
    <row r="845" spans="1:23" ht="39" hidden="1" x14ac:dyDescent="0.25">
      <c r="A845" s="61" t="s">
        <v>15</v>
      </c>
      <c r="B845" s="51" t="s">
        <v>54</v>
      </c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58"/>
      <c r="R845" s="42"/>
      <c r="S845" s="42"/>
      <c r="T845" s="169"/>
    </row>
    <row r="846" spans="1:23" hidden="1" x14ac:dyDescent="0.25">
      <c r="A846" s="61"/>
      <c r="B846" s="51" t="s">
        <v>27</v>
      </c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58"/>
      <c r="R846" s="42"/>
      <c r="S846" s="42"/>
      <c r="T846" s="169"/>
    </row>
    <row r="847" spans="1:23" hidden="1" x14ac:dyDescent="0.25">
      <c r="A847" s="61"/>
      <c r="B847" s="51" t="s">
        <v>28</v>
      </c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58"/>
      <c r="R847" s="42"/>
      <c r="S847" s="42"/>
      <c r="T847" s="169"/>
    </row>
    <row r="848" spans="1:23" hidden="1" x14ac:dyDescent="0.25">
      <c r="A848" s="61"/>
      <c r="B848" s="51" t="s">
        <v>29</v>
      </c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58"/>
      <c r="R848" s="42"/>
      <c r="S848" s="42"/>
      <c r="T848" s="169"/>
    </row>
    <row r="849" spans="1:20" ht="39" hidden="1" x14ac:dyDescent="0.25">
      <c r="A849" s="61" t="s">
        <v>59</v>
      </c>
      <c r="B849" s="51" t="s">
        <v>68</v>
      </c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58"/>
      <c r="R849" s="42"/>
      <c r="S849" s="42"/>
      <c r="T849" s="169"/>
    </row>
    <row r="850" spans="1:20" hidden="1" x14ac:dyDescent="0.25">
      <c r="A850" s="61"/>
      <c r="B850" s="51" t="s">
        <v>27</v>
      </c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58"/>
      <c r="R850" s="42"/>
      <c r="S850" s="42"/>
      <c r="T850" s="169"/>
    </row>
    <row r="851" spans="1:20" hidden="1" x14ac:dyDescent="0.25">
      <c r="A851" s="61"/>
      <c r="B851" s="51" t="s">
        <v>28</v>
      </c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58"/>
      <c r="R851" s="42"/>
      <c r="S851" s="42"/>
      <c r="T851" s="169"/>
    </row>
    <row r="852" spans="1:20" hidden="1" x14ac:dyDescent="0.25">
      <c r="A852" s="61"/>
      <c r="B852" s="51" t="s">
        <v>29</v>
      </c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58"/>
      <c r="R852" s="42"/>
      <c r="S852" s="42"/>
      <c r="T852" s="169"/>
    </row>
    <row r="853" spans="1:20" ht="39" hidden="1" x14ac:dyDescent="0.25">
      <c r="A853" s="61" t="s">
        <v>60</v>
      </c>
      <c r="B853" s="51" t="s">
        <v>55</v>
      </c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58"/>
      <c r="R853" s="42"/>
      <c r="S853" s="42"/>
      <c r="T853" s="169"/>
    </row>
    <row r="854" spans="1:20" hidden="1" x14ac:dyDescent="0.25">
      <c r="A854" s="61"/>
      <c r="B854" s="51" t="s">
        <v>27</v>
      </c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58"/>
      <c r="R854" s="42"/>
      <c r="S854" s="42"/>
      <c r="T854" s="169"/>
    </row>
    <row r="855" spans="1:20" hidden="1" x14ac:dyDescent="0.25">
      <c r="A855" s="61"/>
      <c r="B855" s="51" t="s">
        <v>28</v>
      </c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58"/>
      <c r="R855" s="42"/>
      <c r="S855" s="42"/>
      <c r="T855" s="169"/>
    </row>
    <row r="856" spans="1:20" hidden="1" x14ac:dyDescent="0.25">
      <c r="A856" s="61"/>
      <c r="B856" s="51" t="s">
        <v>29</v>
      </c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58"/>
      <c r="R856" s="42"/>
      <c r="S856" s="42"/>
      <c r="T856" s="169"/>
    </row>
    <row r="857" spans="1:20" ht="51.75" x14ac:dyDescent="0.25">
      <c r="A857" s="61" t="s">
        <v>246</v>
      </c>
      <c r="B857" s="51" t="s">
        <v>313</v>
      </c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58"/>
      <c r="R857" s="42"/>
      <c r="S857" s="42"/>
      <c r="T857" s="168"/>
    </row>
    <row r="858" spans="1:20" x14ac:dyDescent="0.25">
      <c r="A858" s="61"/>
      <c r="B858" s="51" t="s">
        <v>27</v>
      </c>
      <c r="C858" s="42"/>
      <c r="D858" s="42"/>
      <c r="E858" s="42"/>
      <c r="F858" s="42"/>
      <c r="G858" s="42"/>
      <c r="H858" s="42"/>
      <c r="I858" s="62"/>
      <c r="J858" s="42"/>
      <c r="K858" s="42"/>
      <c r="L858" s="42"/>
      <c r="M858" s="42"/>
      <c r="N858" s="42"/>
      <c r="O858" s="42"/>
      <c r="P858" s="42"/>
      <c r="Q858" s="58"/>
      <c r="R858" s="42"/>
      <c r="S858" s="42"/>
      <c r="T858" s="168"/>
    </row>
    <row r="859" spans="1:20" x14ac:dyDescent="0.25">
      <c r="A859" s="61"/>
      <c r="B859" s="51" t="s">
        <v>28</v>
      </c>
      <c r="C859" s="42">
        <v>10</v>
      </c>
      <c r="D859" s="42">
        <v>44466</v>
      </c>
      <c r="E859" s="42">
        <f>C859*D859+18950</f>
        <v>463610</v>
      </c>
      <c r="F859" s="42">
        <f t="shared" ref="F859:F921" si="404">ROUND(D859*35.045%,0)</f>
        <v>15583</v>
      </c>
      <c r="G859" s="42">
        <f>C859*F859+6286</f>
        <v>162116</v>
      </c>
      <c r="H859" s="63">
        <v>17881.599999999999</v>
      </c>
      <c r="I859" s="63">
        <v>1.7729999999999999</v>
      </c>
      <c r="J859" s="42">
        <f t="shared" ref="J859" si="405">H859*I859</f>
        <v>31704.076799999995</v>
      </c>
      <c r="K859" s="42">
        <f>ROUND(C859*J859,0)+46</f>
        <v>317087</v>
      </c>
      <c r="L859" s="42"/>
      <c r="M859" s="42"/>
      <c r="N859" s="42"/>
      <c r="O859" s="42"/>
      <c r="P859" s="42">
        <f t="shared" ref="P859:P860" si="406">D859+F859+J859+N859</f>
        <v>91753.076799999995</v>
      </c>
      <c r="Q859" s="58"/>
      <c r="R859" s="42">
        <f t="shared" ref="R859:R921" si="407">E859+G859+K859+O859</f>
        <v>942813</v>
      </c>
      <c r="S859" s="42"/>
      <c r="T859" s="168"/>
    </row>
    <row r="860" spans="1:20" x14ac:dyDescent="0.25">
      <c r="A860" s="61"/>
      <c r="B860" s="51" t="s">
        <v>289</v>
      </c>
      <c r="C860" s="42">
        <v>5</v>
      </c>
      <c r="D860" s="42">
        <v>44466</v>
      </c>
      <c r="E860" s="42">
        <f t="shared" ref="E860:E921" si="408">C860*D860</f>
        <v>222330</v>
      </c>
      <c r="F860" s="42">
        <f t="shared" si="404"/>
        <v>15583</v>
      </c>
      <c r="G860" s="42">
        <f t="shared" ref="G860" si="409">C860*F860</f>
        <v>77915</v>
      </c>
      <c r="H860" s="63">
        <v>17881.599999999999</v>
      </c>
      <c r="I860" s="63">
        <v>1.7729999999999999</v>
      </c>
      <c r="J860" s="42">
        <f t="shared" ref="J860" si="410">H860*I860</f>
        <v>31704.076799999995</v>
      </c>
      <c r="K860" s="42">
        <f t="shared" ref="K860" si="411">ROUND(C860*J860,0)</f>
        <v>158520</v>
      </c>
      <c r="L860" s="42"/>
      <c r="M860" s="42"/>
      <c r="N860" s="42"/>
      <c r="O860" s="42"/>
      <c r="P860" s="42">
        <f t="shared" si="406"/>
        <v>91753.076799999995</v>
      </c>
      <c r="Q860" s="58"/>
      <c r="R860" s="42">
        <f t="shared" si="407"/>
        <v>458765</v>
      </c>
      <c r="S860" s="42"/>
      <c r="T860" s="168"/>
    </row>
    <row r="861" spans="1:20" ht="51.75" hidden="1" x14ac:dyDescent="0.25">
      <c r="A861" s="61" t="s">
        <v>62</v>
      </c>
      <c r="B861" s="51" t="s">
        <v>57</v>
      </c>
      <c r="C861" s="42"/>
      <c r="D861" s="42"/>
      <c r="E861" s="42">
        <f t="shared" si="408"/>
        <v>0</v>
      </c>
      <c r="F861" s="42">
        <f t="shared" si="404"/>
        <v>0</v>
      </c>
      <c r="G861" s="42"/>
      <c r="H861" s="42"/>
      <c r="I861" s="62"/>
      <c r="J861" s="42"/>
      <c r="K861" s="42"/>
      <c r="L861" s="42"/>
      <c r="M861" s="42"/>
      <c r="N861" s="42"/>
      <c r="O861" s="42"/>
      <c r="P861" s="42"/>
      <c r="Q861" s="58"/>
      <c r="R861" s="42">
        <f t="shared" si="407"/>
        <v>0</v>
      </c>
      <c r="S861" s="42"/>
      <c r="T861" s="168"/>
    </row>
    <row r="862" spans="1:20" hidden="1" x14ac:dyDescent="0.25">
      <c r="A862" s="61"/>
      <c r="B862" s="51" t="s">
        <v>27</v>
      </c>
      <c r="C862" s="42"/>
      <c r="D862" s="42"/>
      <c r="E862" s="42">
        <f t="shared" si="408"/>
        <v>0</v>
      </c>
      <c r="F862" s="42">
        <f t="shared" si="404"/>
        <v>0</v>
      </c>
      <c r="G862" s="42"/>
      <c r="H862" s="42"/>
      <c r="I862" s="62"/>
      <c r="J862" s="42"/>
      <c r="K862" s="42"/>
      <c r="L862" s="42"/>
      <c r="M862" s="42"/>
      <c r="N862" s="42"/>
      <c r="O862" s="42"/>
      <c r="P862" s="42"/>
      <c r="Q862" s="58"/>
      <c r="R862" s="42">
        <f t="shared" si="407"/>
        <v>0</v>
      </c>
      <c r="S862" s="42"/>
      <c r="T862" s="168"/>
    </row>
    <row r="863" spans="1:20" hidden="1" x14ac:dyDescent="0.25">
      <c r="A863" s="61"/>
      <c r="B863" s="51" t="s">
        <v>28</v>
      </c>
      <c r="C863" s="42"/>
      <c r="D863" s="42"/>
      <c r="E863" s="42">
        <f t="shared" si="408"/>
        <v>0</v>
      </c>
      <c r="F863" s="42">
        <f t="shared" si="404"/>
        <v>0</v>
      </c>
      <c r="G863" s="42"/>
      <c r="H863" s="42"/>
      <c r="I863" s="62"/>
      <c r="J863" s="42"/>
      <c r="K863" s="42"/>
      <c r="L863" s="42"/>
      <c r="M863" s="42"/>
      <c r="N863" s="42"/>
      <c r="O863" s="42"/>
      <c r="P863" s="42"/>
      <c r="Q863" s="58"/>
      <c r="R863" s="42">
        <f t="shared" si="407"/>
        <v>0</v>
      </c>
      <c r="S863" s="42"/>
      <c r="T863" s="168"/>
    </row>
    <row r="864" spans="1:20" hidden="1" x14ac:dyDescent="0.25">
      <c r="A864" s="61"/>
      <c r="B864" s="51" t="s">
        <v>29</v>
      </c>
      <c r="C864" s="42"/>
      <c r="D864" s="42"/>
      <c r="E864" s="42">
        <f t="shared" si="408"/>
        <v>0</v>
      </c>
      <c r="F864" s="42">
        <f t="shared" si="404"/>
        <v>0</v>
      </c>
      <c r="G864" s="42"/>
      <c r="H864" s="42"/>
      <c r="I864" s="62"/>
      <c r="J864" s="42"/>
      <c r="K864" s="42"/>
      <c r="L864" s="42"/>
      <c r="M864" s="42"/>
      <c r="N864" s="42"/>
      <c r="O864" s="42"/>
      <c r="P864" s="42"/>
      <c r="Q864" s="58"/>
      <c r="R864" s="42">
        <f t="shared" si="407"/>
        <v>0</v>
      </c>
      <c r="S864" s="42"/>
      <c r="T864" s="168"/>
    </row>
    <row r="865" spans="1:23" ht="51.75" hidden="1" x14ac:dyDescent="0.25">
      <c r="A865" s="61" t="s">
        <v>63</v>
      </c>
      <c r="B865" s="51" t="s">
        <v>58</v>
      </c>
      <c r="C865" s="42"/>
      <c r="D865" s="42"/>
      <c r="E865" s="42">
        <f t="shared" si="408"/>
        <v>0</v>
      </c>
      <c r="F865" s="42">
        <f t="shared" si="404"/>
        <v>0</v>
      </c>
      <c r="G865" s="42"/>
      <c r="H865" s="42"/>
      <c r="I865" s="62"/>
      <c r="J865" s="42"/>
      <c r="K865" s="42"/>
      <c r="L865" s="42"/>
      <c r="M865" s="42"/>
      <c r="N865" s="42"/>
      <c r="O865" s="42"/>
      <c r="P865" s="42"/>
      <c r="Q865" s="58"/>
      <c r="R865" s="42">
        <f t="shared" si="407"/>
        <v>0</v>
      </c>
      <c r="S865" s="42"/>
      <c r="T865" s="168"/>
    </row>
    <row r="866" spans="1:23" hidden="1" x14ac:dyDescent="0.25">
      <c r="A866" s="61"/>
      <c r="B866" s="51" t="s">
        <v>27</v>
      </c>
      <c r="C866" s="42"/>
      <c r="D866" s="42"/>
      <c r="E866" s="42">
        <f t="shared" si="408"/>
        <v>0</v>
      </c>
      <c r="F866" s="42">
        <f t="shared" si="404"/>
        <v>0</v>
      </c>
      <c r="G866" s="42"/>
      <c r="H866" s="42"/>
      <c r="I866" s="62"/>
      <c r="J866" s="42"/>
      <c r="K866" s="42"/>
      <c r="L866" s="42"/>
      <c r="M866" s="42"/>
      <c r="N866" s="42"/>
      <c r="O866" s="42"/>
      <c r="P866" s="42"/>
      <c r="Q866" s="58"/>
      <c r="R866" s="42">
        <f t="shared" si="407"/>
        <v>0</v>
      </c>
      <c r="S866" s="42"/>
      <c r="T866" s="168"/>
    </row>
    <row r="867" spans="1:23" hidden="1" x14ac:dyDescent="0.25">
      <c r="A867" s="61"/>
      <c r="B867" s="51" t="s">
        <v>28</v>
      </c>
      <c r="C867" s="42"/>
      <c r="D867" s="42"/>
      <c r="E867" s="42">
        <f t="shared" si="408"/>
        <v>0</v>
      </c>
      <c r="F867" s="42">
        <f t="shared" si="404"/>
        <v>0</v>
      </c>
      <c r="G867" s="42"/>
      <c r="H867" s="42"/>
      <c r="I867" s="62"/>
      <c r="J867" s="42"/>
      <c r="K867" s="42"/>
      <c r="L867" s="42"/>
      <c r="M867" s="42"/>
      <c r="N867" s="42"/>
      <c r="O867" s="42"/>
      <c r="P867" s="42"/>
      <c r="Q867" s="58"/>
      <c r="R867" s="42">
        <f t="shared" si="407"/>
        <v>0</v>
      </c>
      <c r="S867" s="42"/>
      <c r="T867" s="168"/>
    </row>
    <row r="868" spans="1:23" hidden="1" x14ac:dyDescent="0.25">
      <c r="A868" s="61"/>
      <c r="B868" s="51" t="s">
        <v>29</v>
      </c>
      <c r="C868" s="42"/>
      <c r="D868" s="42"/>
      <c r="E868" s="42">
        <f t="shared" si="408"/>
        <v>0</v>
      </c>
      <c r="F868" s="42">
        <f t="shared" si="404"/>
        <v>0</v>
      </c>
      <c r="G868" s="42"/>
      <c r="H868" s="42"/>
      <c r="I868" s="62"/>
      <c r="J868" s="42"/>
      <c r="K868" s="42"/>
      <c r="L868" s="42"/>
      <c r="M868" s="42"/>
      <c r="N868" s="42"/>
      <c r="O868" s="42"/>
      <c r="P868" s="42"/>
      <c r="Q868" s="58"/>
      <c r="R868" s="42">
        <f t="shared" si="407"/>
        <v>0</v>
      </c>
      <c r="S868" s="42"/>
      <c r="T868" s="168"/>
    </row>
    <row r="869" spans="1:23" ht="39" hidden="1" x14ac:dyDescent="0.25">
      <c r="A869" s="61" t="s">
        <v>64</v>
      </c>
      <c r="B869" s="51" t="s">
        <v>30</v>
      </c>
      <c r="C869" s="42"/>
      <c r="D869" s="42"/>
      <c r="E869" s="42">
        <f t="shared" si="408"/>
        <v>0</v>
      </c>
      <c r="F869" s="42">
        <f t="shared" si="404"/>
        <v>0</v>
      </c>
      <c r="G869" s="42"/>
      <c r="H869" s="42"/>
      <c r="I869" s="62"/>
      <c r="J869" s="42"/>
      <c r="K869" s="42"/>
      <c r="L869" s="42"/>
      <c r="M869" s="42"/>
      <c r="N869" s="42"/>
      <c r="O869" s="42"/>
      <c r="P869" s="42"/>
      <c r="Q869" s="58"/>
      <c r="R869" s="42">
        <f t="shared" si="407"/>
        <v>0</v>
      </c>
      <c r="S869" s="42"/>
      <c r="T869" s="168"/>
    </row>
    <row r="870" spans="1:23" hidden="1" x14ac:dyDescent="0.25">
      <c r="A870" s="61"/>
      <c r="B870" s="51" t="s">
        <v>27</v>
      </c>
      <c r="C870" s="42"/>
      <c r="D870" s="42"/>
      <c r="E870" s="42">
        <f t="shared" si="408"/>
        <v>0</v>
      </c>
      <c r="F870" s="42">
        <f t="shared" si="404"/>
        <v>0</v>
      </c>
      <c r="G870" s="42"/>
      <c r="H870" s="42"/>
      <c r="I870" s="62"/>
      <c r="J870" s="42"/>
      <c r="K870" s="42"/>
      <c r="L870" s="42"/>
      <c r="M870" s="42"/>
      <c r="N870" s="42"/>
      <c r="O870" s="42"/>
      <c r="P870" s="42"/>
      <c r="Q870" s="58"/>
      <c r="R870" s="42">
        <f t="shared" si="407"/>
        <v>0</v>
      </c>
      <c r="S870" s="42"/>
      <c r="T870" s="168"/>
    </row>
    <row r="871" spans="1:23" hidden="1" x14ac:dyDescent="0.25">
      <c r="A871" s="61"/>
      <c r="B871" s="51" t="s">
        <v>28</v>
      </c>
      <c r="C871" s="42"/>
      <c r="D871" s="42"/>
      <c r="E871" s="42">
        <f t="shared" si="408"/>
        <v>0</v>
      </c>
      <c r="F871" s="42">
        <f t="shared" si="404"/>
        <v>0</v>
      </c>
      <c r="G871" s="42"/>
      <c r="H871" s="42"/>
      <c r="I871" s="62"/>
      <c r="J871" s="42"/>
      <c r="K871" s="42"/>
      <c r="L871" s="42"/>
      <c r="M871" s="42"/>
      <c r="N871" s="42"/>
      <c r="O871" s="42"/>
      <c r="P871" s="42"/>
      <c r="Q871" s="58"/>
      <c r="R871" s="42">
        <f t="shared" si="407"/>
        <v>0</v>
      </c>
      <c r="S871" s="42"/>
      <c r="T871" s="168"/>
    </row>
    <row r="872" spans="1:23" hidden="1" x14ac:dyDescent="0.25">
      <c r="A872" s="61"/>
      <c r="B872" s="51" t="s">
        <v>29</v>
      </c>
      <c r="C872" s="42"/>
      <c r="D872" s="42"/>
      <c r="E872" s="42">
        <f t="shared" si="408"/>
        <v>0</v>
      </c>
      <c r="F872" s="42">
        <f t="shared" si="404"/>
        <v>0</v>
      </c>
      <c r="G872" s="42"/>
      <c r="H872" s="42"/>
      <c r="I872" s="62"/>
      <c r="J872" s="42"/>
      <c r="K872" s="42"/>
      <c r="L872" s="42"/>
      <c r="M872" s="42"/>
      <c r="N872" s="42"/>
      <c r="O872" s="42"/>
      <c r="P872" s="42"/>
      <c r="Q872" s="58"/>
      <c r="R872" s="42">
        <f t="shared" si="407"/>
        <v>0</v>
      </c>
      <c r="S872" s="42"/>
      <c r="T872" s="168"/>
    </row>
    <row r="873" spans="1:23" ht="39" hidden="1" x14ac:dyDescent="0.25">
      <c r="A873" s="61"/>
      <c r="B873" s="51" t="s">
        <v>9</v>
      </c>
      <c r="C873" s="42"/>
      <c r="D873" s="42"/>
      <c r="E873" s="42">
        <f t="shared" si="408"/>
        <v>0</v>
      </c>
      <c r="F873" s="42">
        <f t="shared" si="404"/>
        <v>0</v>
      </c>
      <c r="G873" s="42"/>
      <c r="H873" s="42"/>
      <c r="I873" s="62"/>
      <c r="J873" s="42"/>
      <c r="K873" s="42"/>
      <c r="L873" s="42"/>
      <c r="M873" s="42"/>
      <c r="N873" s="42"/>
      <c r="O873" s="42"/>
      <c r="P873" s="42"/>
      <c r="Q873" s="58"/>
      <c r="R873" s="42">
        <f t="shared" si="407"/>
        <v>0</v>
      </c>
      <c r="S873" s="42"/>
      <c r="T873" s="168"/>
    </row>
    <row r="874" spans="1:23" ht="39" hidden="1" x14ac:dyDescent="0.25">
      <c r="A874" s="61"/>
      <c r="B874" s="51" t="s">
        <v>11</v>
      </c>
      <c r="C874" s="42"/>
      <c r="D874" s="42"/>
      <c r="E874" s="42">
        <f t="shared" si="408"/>
        <v>0</v>
      </c>
      <c r="F874" s="42">
        <f t="shared" si="404"/>
        <v>0</v>
      </c>
      <c r="G874" s="42"/>
      <c r="H874" s="42"/>
      <c r="I874" s="62"/>
      <c r="J874" s="42"/>
      <c r="K874" s="42"/>
      <c r="L874" s="42"/>
      <c r="M874" s="42"/>
      <c r="N874" s="42"/>
      <c r="O874" s="42"/>
      <c r="P874" s="42"/>
      <c r="Q874" s="58"/>
      <c r="R874" s="42">
        <f t="shared" si="407"/>
        <v>0</v>
      </c>
      <c r="S874" s="42"/>
      <c r="T874" s="168"/>
    </row>
    <row r="875" spans="1:23" hidden="1" x14ac:dyDescent="0.25">
      <c r="A875" s="61"/>
      <c r="B875" s="51" t="s">
        <v>13</v>
      </c>
      <c r="C875" s="42"/>
      <c r="D875" s="42"/>
      <c r="E875" s="42">
        <f t="shared" si="408"/>
        <v>0</v>
      </c>
      <c r="F875" s="42">
        <f t="shared" si="404"/>
        <v>0</v>
      </c>
      <c r="G875" s="42"/>
      <c r="H875" s="42"/>
      <c r="I875" s="62"/>
      <c r="J875" s="42"/>
      <c r="K875" s="42"/>
      <c r="L875" s="42"/>
      <c r="M875" s="42"/>
      <c r="N875" s="42"/>
      <c r="O875" s="42"/>
      <c r="P875" s="42"/>
      <c r="Q875" s="58"/>
      <c r="R875" s="42">
        <f t="shared" si="407"/>
        <v>0</v>
      </c>
      <c r="S875" s="42"/>
      <c r="T875" s="168"/>
    </row>
    <row r="876" spans="1:23" hidden="1" x14ac:dyDescent="0.25">
      <c r="A876" s="61"/>
      <c r="B876" s="61" t="s">
        <v>14</v>
      </c>
      <c r="C876" s="42"/>
      <c r="D876" s="42"/>
      <c r="E876" s="42">
        <f t="shared" si="408"/>
        <v>0</v>
      </c>
      <c r="F876" s="42">
        <f t="shared" si="404"/>
        <v>0</v>
      </c>
      <c r="G876" s="42"/>
      <c r="H876" s="42"/>
      <c r="I876" s="62"/>
      <c r="J876" s="42"/>
      <c r="K876" s="42"/>
      <c r="L876" s="42"/>
      <c r="M876" s="42"/>
      <c r="N876" s="42"/>
      <c r="O876" s="42"/>
      <c r="P876" s="42"/>
      <c r="Q876" s="58"/>
      <c r="R876" s="42">
        <f t="shared" si="407"/>
        <v>0</v>
      </c>
      <c r="S876" s="42"/>
      <c r="T876" s="168"/>
    </row>
    <row r="877" spans="1:23" hidden="1" x14ac:dyDescent="0.25">
      <c r="A877" s="61"/>
      <c r="B877" s="61" t="s">
        <v>17</v>
      </c>
      <c r="C877" s="42"/>
      <c r="D877" s="42"/>
      <c r="E877" s="42">
        <f t="shared" si="408"/>
        <v>0</v>
      </c>
      <c r="F877" s="42">
        <f t="shared" si="404"/>
        <v>0</v>
      </c>
      <c r="G877" s="42"/>
      <c r="H877" s="42"/>
      <c r="I877" s="62"/>
      <c r="J877" s="42"/>
      <c r="K877" s="42"/>
      <c r="L877" s="42"/>
      <c r="M877" s="42"/>
      <c r="N877" s="42"/>
      <c r="O877" s="42"/>
      <c r="P877" s="42"/>
      <c r="Q877" s="58"/>
      <c r="R877" s="42">
        <f t="shared" si="407"/>
        <v>0</v>
      </c>
      <c r="S877" s="42"/>
      <c r="T877" s="168"/>
    </row>
    <row r="878" spans="1:23" hidden="1" x14ac:dyDescent="0.25">
      <c r="A878" s="61"/>
      <c r="B878" s="61" t="s">
        <v>14</v>
      </c>
      <c r="C878" s="42"/>
      <c r="D878" s="42"/>
      <c r="E878" s="42">
        <f t="shared" si="408"/>
        <v>0</v>
      </c>
      <c r="F878" s="42">
        <f t="shared" si="404"/>
        <v>0</v>
      </c>
      <c r="G878" s="42"/>
      <c r="H878" s="42"/>
      <c r="I878" s="62"/>
      <c r="J878" s="42"/>
      <c r="K878" s="42"/>
      <c r="L878" s="42"/>
      <c r="M878" s="42"/>
      <c r="N878" s="42"/>
      <c r="O878" s="42"/>
      <c r="P878" s="42"/>
      <c r="Q878" s="58"/>
      <c r="R878" s="42">
        <f t="shared" si="407"/>
        <v>0</v>
      </c>
      <c r="S878" s="42"/>
      <c r="T878" s="168"/>
    </row>
    <row r="879" spans="1:23" hidden="1" x14ac:dyDescent="0.25">
      <c r="A879" s="65"/>
      <c r="B879" s="51" t="s">
        <v>13</v>
      </c>
      <c r="C879" s="42"/>
      <c r="D879" s="42"/>
      <c r="E879" s="42">
        <f t="shared" si="408"/>
        <v>0</v>
      </c>
      <c r="F879" s="42">
        <f t="shared" si="404"/>
        <v>0</v>
      </c>
      <c r="G879" s="42"/>
      <c r="H879" s="42"/>
      <c r="I879" s="62"/>
      <c r="J879" s="42"/>
      <c r="K879" s="42"/>
      <c r="L879" s="42"/>
      <c r="M879" s="42"/>
      <c r="N879" s="42"/>
      <c r="O879" s="42"/>
      <c r="P879" s="42"/>
      <c r="Q879" s="58"/>
      <c r="R879" s="42">
        <f t="shared" si="407"/>
        <v>0</v>
      </c>
      <c r="S879" s="42"/>
      <c r="T879" s="168"/>
    </row>
    <row r="880" spans="1:23" s="60" customFormat="1" hidden="1" x14ac:dyDescent="0.25">
      <c r="A880" s="56"/>
      <c r="B880" s="51" t="s">
        <v>27</v>
      </c>
      <c r="C880" s="58"/>
      <c r="D880" s="58"/>
      <c r="E880" s="42">
        <f t="shared" si="408"/>
        <v>0</v>
      </c>
      <c r="F880" s="42">
        <f t="shared" si="404"/>
        <v>0</v>
      </c>
      <c r="G880" s="58"/>
      <c r="H880" s="58"/>
      <c r="I880" s="59"/>
      <c r="J880" s="58"/>
      <c r="K880" s="42"/>
      <c r="L880" s="58"/>
      <c r="M880" s="42"/>
      <c r="N880" s="58"/>
      <c r="O880" s="42"/>
      <c r="P880" s="42"/>
      <c r="Q880" s="58"/>
      <c r="R880" s="42">
        <f t="shared" si="407"/>
        <v>0</v>
      </c>
      <c r="S880" s="58"/>
      <c r="T880" s="168"/>
      <c r="U880" s="68"/>
      <c r="V880" s="66"/>
      <c r="W880" s="66"/>
    </row>
    <row r="881" spans="1:23" hidden="1" x14ac:dyDescent="0.25">
      <c r="A881" s="61"/>
      <c r="B881" s="51" t="s">
        <v>28</v>
      </c>
      <c r="C881" s="42"/>
      <c r="D881" s="42"/>
      <c r="E881" s="42">
        <f t="shared" si="408"/>
        <v>0</v>
      </c>
      <c r="F881" s="42">
        <f t="shared" si="404"/>
        <v>0</v>
      </c>
      <c r="G881" s="42"/>
      <c r="H881" s="42"/>
      <c r="I881" s="62"/>
      <c r="J881" s="42"/>
      <c r="K881" s="42"/>
      <c r="L881" s="42"/>
      <c r="M881" s="42"/>
      <c r="N881" s="42"/>
      <c r="O881" s="42"/>
      <c r="P881" s="42"/>
      <c r="Q881" s="58"/>
      <c r="R881" s="42">
        <f t="shared" si="407"/>
        <v>0</v>
      </c>
      <c r="S881" s="42"/>
      <c r="T881" s="168"/>
    </row>
    <row r="882" spans="1:23" hidden="1" x14ac:dyDescent="0.25">
      <c r="A882" s="61"/>
      <c r="B882" s="51" t="s">
        <v>29</v>
      </c>
      <c r="C882" s="42"/>
      <c r="D882" s="42"/>
      <c r="E882" s="42">
        <f t="shared" si="408"/>
        <v>0</v>
      </c>
      <c r="F882" s="42">
        <f t="shared" si="404"/>
        <v>0</v>
      </c>
      <c r="G882" s="42"/>
      <c r="H882" s="42"/>
      <c r="I882" s="62"/>
      <c r="J882" s="42"/>
      <c r="K882" s="42"/>
      <c r="L882" s="42"/>
      <c r="M882" s="42"/>
      <c r="N882" s="42"/>
      <c r="O882" s="42"/>
      <c r="P882" s="42"/>
      <c r="Q882" s="58"/>
      <c r="R882" s="42">
        <f t="shared" si="407"/>
        <v>0</v>
      </c>
      <c r="S882" s="42"/>
      <c r="T882" s="168"/>
    </row>
    <row r="883" spans="1:23" s="60" customFormat="1" hidden="1" x14ac:dyDescent="0.25">
      <c r="A883" s="56">
        <v>2</v>
      </c>
      <c r="B883" s="8" t="s">
        <v>235</v>
      </c>
      <c r="C883" s="58"/>
      <c r="D883" s="58"/>
      <c r="E883" s="42">
        <f t="shared" si="408"/>
        <v>0</v>
      </c>
      <c r="F883" s="42">
        <f t="shared" si="404"/>
        <v>0</v>
      </c>
      <c r="G883" s="58"/>
      <c r="H883" s="58"/>
      <c r="I883" s="59"/>
      <c r="J883" s="58"/>
      <c r="K883" s="42"/>
      <c r="L883" s="58"/>
      <c r="M883" s="42"/>
      <c r="N883" s="58"/>
      <c r="O883" s="42"/>
      <c r="P883" s="42"/>
      <c r="Q883" s="58"/>
      <c r="R883" s="42">
        <f t="shared" si="407"/>
        <v>0</v>
      </c>
      <c r="S883" s="58"/>
      <c r="T883" s="168"/>
      <c r="U883" s="68"/>
      <c r="V883" s="66"/>
      <c r="W883" s="66"/>
    </row>
    <row r="884" spans="1:23" ht="39" hidden="1" x14ac:dyDescent="0.25">
      <c r="A884" s="61" t="s">
        <v>15</v>
      </c>
      <c r="B884" s="51" t="s">
        <v>234</v>
      </c>
      <c r="C884" s="42"/>
      <c r="D884" s="42"/>
      <c r="E884" s="42">
        <f t="shared" si="408"/>
        <v>0</v>
      </c>
      <c r="F884" s="42">
        <f t="shared" si="404"/>
        <v>0</v>
      </c>
      <c r="G884" s="42"/>
      <c r="H884" s="42"/>
      <c r="I884" s="62"/>
      <c r="J884" s="42"/>
      <c r="K884" s="42"/>
      <c r="L884" s="42"/>
      <c r="M884" s="42"/>
      <c r="N884" s="42"/>
      <c r="O884" s="42"/>
      <c r="P884" s="42"/>
      <c r="Q884" s="58"/>
      <c r="R884" s="42">
        <f t="shared" si="407"/>
        <v>0</v>
      </c>
      <c r="S884" s="42"/>
      <c r="T884" s="168"/>
    </row>
    <row r="885" spans="1:23" hidden="1" x14ac:dyDescent="0.25">
      <c r="A885" s="61"/>
      <c r="B885" s="51" t="s">
        <v>27</v>
      </c>
      <c r="C885" s="42"/>
      <c r="D885" s="42"/>
      <c r="E885" s="42">
        <f t="shared" si="408"/>
        <v>0</v>
      </c>
      <c r="F885" s="42">
        <f t="shared" si="404"/>
        <v>0</v>
      </c>
      <c r="G885" s="42"/>
      <c r="H885" s="42"/>
      <c r="I885" s="62"/>
      <c r="J885" s="42"/>
      <c r="K885" s="42"/>
      <c r="L885" s="42"/>
      <c r="M885" s="42"/>
      <c r="N885" s="42"/>
      <c r="O885" s="42"/>
      <c r="P885" s="42"/>
      <c r="Q885" s="58"/>
      <c r="R885" s="42">
        <f t="shared" si="407"/>
        <v>0</v>
      </c>
      <c r="S885" s="42"/>
      <c r="T885" s="168"/>
    </row>
    <row r="886" spans="1:23" hidden="1" x14ac:dyDescent="0.25">
      <c r="A886" s="61"/>
      <c r="B886" s="51" t="s">
        <v>28</v>
      </c>
      <c r="C886" s="42"/>
      <c r="D886" s="42"/>
      <c r="E886" s="42">
        <f t="shared" si="408"/>
        <v>0</v>
      </c>
      <c r="F886" s="42">
        <f t="shared" si="404"/>
        <v>0</v>
      </c>
      <c r="G886" s="42"/>
      <c r="H886" s="42"/>
      <c r="I886" s="62"/>
      <c r="J886" s="42"/>
      <c r="K886" s="42"/>
      <c r="L886" s="42"/>
      <c r="M886" s="42"/>
      <c r="N886" s="42"/>
      <c r="O886" s="42"/>
      <c r="P886" s="42"/>
      <c r="Q886" s="58"/>
      <c r="R886" s="42">
        <f t="shared" si="407"/>
        <v>0</v>
      </c>
      <c r="S886" s="42"/>
      <c r="T886" s="168"/>
    </row>
    <row r="887" spans="1:23" hidden="1" x14ac:dyDescent="0.25">
      <c r="A887" s="61"/>
      <c r="B887" s="51" t="s">
        <v>29</v>
      </c>
      <c r="C887" s="42"/>
      <c r="D887" s="42"/>
      <c r="E887" s="42">
        <f t="shared" si="408"/>
        <v>0</v>
      </c>
      <c r="F887" s="42">
        <f t="shared" si="404"/>
        <v>0</v>
      </c>
      <c r="G887" s="42"/>
      <c r="H887" s="42"/>
      <c r="I887" s="62"/>
      <c r="J887" s="42"/>
      <c r="K887" s="42"/>
      <c r="L887" s="42"/>
      <c r="M887" s="42"/>
      <c r="N887" s="42"/>
      <c r="O887" s="42"/>
      <c r="P887" s="42"/>
      <c r="Q887" s="58"/>
      <c r="R887" s="42">
        <f t="shared" si="407"/>
        <v>0</v>
      </c>
      <c r="S887" s="42"/>
      <c r="T887" s="168"/>
    </row>
    <row r="888" spans="1:23" ht="39" hidden="1" x14ac:dyDescent="0.25">
      <c r="A888" s="61" t="s">
        <v>59</v>
      </c>
      <c r="B888" s="51" t="s">
        <v>68</v>
      </c>
      <c r="C888" s="42"/>
      <c r="D888" s="42"/>
      <c r="E888" s="42">
        <f t="shared" si="408"/>
        <v>0</v>
      </c>
      <c r="F888" s="42">
        <f t="shared" si="404"/>
        <v>0</v>
      </c>
      <c r="G888" s="42"/>
      <c r="H888" s="42"/>
      <c r="I888" s="62"/>
      <c r="J888" s="42"/>
      <c r="K888" s="42"/>
      <c r="L888" s="42"/>
      <c r="M888" s="42"/>
      <c r="N888" s="42"/>
      <c r="O888" s="42"/>
      <c r="P888" s="42"/>
      <c r="Q888" s="58"/>
      <c r="R888" s="42">
        <f t="shared" si="407"/>
        <v>0</v>
      </c>
      <c r="S888" s="42"/>
      <c r="T888" s="168"/>
    </row>
    <row r="889" spans="1:23" hidden="1" x14ac:dyDescent="0.25">
      <c r="A889" s="61"/>
      <c r="B889" s="51" t="s">
        <v>27</v>
      </c>
      <c r="C889" s="42"/>
      <c r="D889" s="42"/>
      <c r="E889" s="42">
        <f t="shared" si="408"/>
        <v>0</v>
      </c>
      <c r="F889" s="42">
        <f t="shared" si="404"/>
        <v>0</v>
      </c>
      <c r="G889" s="42"/>
      <c r="H889" s="42"/>
      <c r="I889" s="62"/>
      <c r="J889" s="42"/>
      <c r="K889" s="42"/>
      <c r="L889" s="42"/>
      <c r="M889" s="42"/>
      <c r="N889" s="42"/>
      <c r="O889" s="42"/>
      <c r="P889" s="42"/>
      <c r="Q889" s="58"/>
      <c r="R889" s="42">
        <f t="shared" si="407"/>
        <v>0</v>
      </c>
      <c r="S889" s="42"/>
      <c r="T889" s="168"/>
    </row>
    <row r="890" spans="1:23" hidden="1" x14ac:dyDescent="0.25">
      <c r="A890" s="61"/>
      <c r="B890" s="51" t="s">
        <v>28</v>
      </c>
      <c r="C890" s="42"/>
      <c r="D890" s="42"/>
      <c r="E890" s="42">
        <f t="shared" si="408"/>
        <v>0</v>
      </c>
      <c r="F890" s="42">
        <f t="shared" si="404"/>
        <v>0</v>
      </c>
      <c r="G890" s="42"/>
      <c r="H890" s="42"/>
      <c r="I890" s="62"/>
      <c r="J890" s="42"/>
      <c r="K890" s="42"/>
      <c r="L890" s="42"/>
      <c r="M890" s="42"/>
      <c r="N890" s="42"/>
      <c r="O890" s="42"/>
      <c r="P890" s="42"/>
      <c r="Q890" s="58"/>
      <c r="R890" s="42">
        <f t="shared" si="407"/>
        <v>0</v>
      </c>
      <c r="S890" s="42"/>
      <c r="T890" s="168"/>
    </row>
    <row r="891" spans="1:23" hidden="1" x14ac:dyDescent="0.25">
      <c r="A891" s="61"/>
      <c r="B891" s="51" t="s">
        <v>29</v>
      </c>
      <c r="C891" s="42"/>
      <c r="D891" s="42"/>
      <c r="E891" s="42">
        <f t="shared" si="408"/>
        <v>0</v>
      </c>
      <c r="F891" s="42">
        <f t="shared" si="404"/>
        <v>0</v>
      </c>
      <c r="G891" s="42"/>
      <c r="H891" s="42"/>
      <c r="I891" s="62"/>
      <c r="J891" s="42"/>
      <c r="K891" s="42"/>
      <c r="L891" s="42"/>
      <c r="M891" s="42"/>
      <c r="N891" s="42"/>
      <c r="O891" s="42"/>
      <c r="P891" s="42"/>
      <c r="Q891" s="58"/>
      <c r="R891" s="42">
        <f t="shared" si="407"/>
        <v>0</v>
      </c>
      <c r="S891" s="42"/>
      <c r="T891" s="168"/>
    </row>
    <row r="892" spans="1:23" ht="39" hidden="1" x14ac:dyDescent="0.25">
      <c r="A892" s="61" t="s">
        <v>60</v>
      </c>
      <c r="B892" s="51" t="s">
        <v>55</v>
      </c>
      <c r="C892" s="42"/>
      <c r="D892" s="42"/>
      <c r="E892" s="42">
        <f t="shared" si="408"/>
        <v>0</v>
      </c>
      <c r="F892" s="42">
        <f t="shared" si="404"/>
        <v>0</v>
      </c>
      <c r="G892" s="42"/>
      <c r="H892" s="42"/>
      <c r="I892" s="62"/>
      <c r="J892" s="42"/>
      <c r="K892" s="42"/>
      <c r="L892" s="42"/>
      <c r="M892" s="42"/>
      <c r="N892" s="42"/>
      <c r="O892" s="42"/>
      <c r="P892" s="42"/>
      <c r="Q892" s="58"/>
      <c r="R892" s="42">
        <f t="shared" si="407"/>
        <v>0</v>
      </c>
      <c r="S892" s="42"/>
      <c r="T892" s="168"/>
    </row>
    <row r="893" spans="1:23" hidden="1" x14ac:dyDescent="0.25">
      <c r="A893" s="61"/>
      <c r="B893" s="51" t="s">
        <v>27</v>
      </c>
      <c r="C893" s="42"/>
      <c r="D893" s="42"/>
      <c r="E893" s="42">
        <f t="shared" si="408"/>
        <v>0</v>
      </c>
      <c r="F893" s="42">
        <f t="shared" si="404"/>
        <v>0</v>
      </c>
      <c r="G893" s="42"/>
      <c r="H893" s="42"/>
      <c r="I893" s="62"/>
      <c r="J893" s="42"/>
      <c r="K893" s="42"/>
      <c r="L893" s="42"/>
      <c r="M893" s="42"/>
      <c r="N893" s="42"/>
      <c r="O893" s="42"/>
      <c r="P893" s="42"/>
      <c r="Q893" s="58"/>
      <c r="R893" s="42">
        <f t="shared" si="407"/>
        <v>0</v>
      </c>
      <c r="S893" s="42"/>
      <c r="T893" s="168"/>
    </row>
    <row r="894" spans="1:23" hidden="1" x14ac:dyDescent="0.25">
      <c r="A894" s="61"/>
      <c r="B894" s="51" t="s">
        <v>28</v>
      </c>
      <c r="C894" s="42"/>
      <c r="D894" s="42"/>
      <c r="E894" s="42">
        <f t="shared" si="408"/>
        <v>0</v>
      </c>
      <c r="F894" s="42">
        <f t="shared" si="404"/>
        <v>0</v>
      </c>
      <c r="G894" s="42"/>
      <c r="H894" s="42"/>
      <c r="I894" s="62"/>
      <c r="J894" s="42"/>
      <c r="K894" s="42"/>
      <c r="L894" s="42"/>
      <c r="M894" s="42"/>
      <c r="N894" s="42"/>
      <c r="O894" s="42"/>
      <c r="P894" s="42"/>
      <c r="Q894" s="58"/>
      <c r="R894" s="42">
        <f t="shared" si="407"/>
        <v>0</v>
      </c>
      <c r="S894" s="42"/>
      <c r="T894" s="168"/>
    </row>
    <row r="895" spans="1:23" hidden="1" x14ac:dyDescent="0.25">
      <c r="A895" s="61"/>
      <c r="B895" s="51" t="s">
        <v>29</v>
      </c>
      <c r="C895" s="42"/>
      <c r="D895" s="42"/>
      <c r="E895" s="42">
        <f t="shared" si="408"/>
        <v>0</v>
      </c>
      <c r="F895" s="42">
        <f t="shared" si="404"/>
        <v>0</v>
      </c>
      <c r="G895" s="42"/>
      <c r="H895" s="42"/>
      <c r="I895" s="62"/>
      <c r="J895" s="42"/>
      <c r="K895" s="42"/>
      <c r="L895" s="42"/>
      <c r="M895" s="42"/>
      <c r="N895" s="42"/>
      <c r="O895" s="42"/>
      <c r="P895" s="42"/>
      <c r="Q895" s="58"/>
      <c r="R895" s="42">
        <f t="shared" si="407"/>
        <v>0</v>
      </c>
      <c r="S895" s="42"/>
      <c r="T895" s="168"/>
    </row>
    <row r="896" spans="1:23" ht="39" hidden="1" x14ac:dyDescent="0.25">
      <c r="A896" s="61" t="s">
        <v>61</v>
      </c>
      <c r="B896" s="51" t="s">
        <v>56</v>
      </c>
      <c r="C896" s="42"/>
      <c r="D896" s="42"/>
      <c r="E896" s="42">
        <f t="shared" si="408"/>
        <v>0</v>
      </c>
      <c r="F896" s="42">
        <f t="shared" si="404"/>
        <v>0</v>
      </c>
      <c r="G896" s="42"/>
      <c r="H896" s="42"/>
      <c r="I896" s="62"/>
      <c r="J896" s="42"/>
      <c r="K896" s="42"/>
      <c r="L896" s="42"/>
      <c r="M896" s="42"/>
      <c r="N896" s="42"/>
      <c r="O896" s="42"/>
      <c r="P896" s="42"/>
      <c r="Q896" s="58"/>
      <c r="R896" s="42">
        <f t="shared" si="407"/>
        <v>0</v>
      </c>
      <c r="S896" s="42"/>
      <c r="T896" s="168"/>
    </row>
    <row r="897" spans="1:20" hidden="1" x14ac:dyDescent="0.25">
      <c r="A897" s="61"/>
      <c r="B897" s="51" t="s">
        <v>27</v>
      </c>
      <c r="C897" s="42"/>
      <c r="D897" s="42"/>
      <c r="E897" s="42">
        <f t="shared" si="408"/>
        <v>0</v>
      </c>
      <c r="F897" s="42">
        <f t="shared" si="404"/>
        <v>0</v>
      </c>
      <c r="G897" s="42"/>
      <c r="H897" s="42"/>
      <c r="I897" s="62"/>
      <c r="J897" s="42"/>
      <c r="K897" s="42"/>
      <c r="L897" s="42"/>
      <c r="M897" s="42"/>
      <c r="N897" s="42"/>
      <c r="O897" s="42"/>
      <c r="P897" s="42"/>
      <c r="Q897" s="58"/>
      <c r="R897" s="42">
        <f t="shared" si="407"/>
        <v>0</v>
      </c>
      <c r="S897" s="42"/>
      <c r="T897" s="168"/>
    </row>
    <row r="898" spans="1:20" hidden="1" x14ac:dyDescent="0.25">
      <c r="A898" s="61"/>
      <c r="B898" s="51" t="s">
        <v>28</v>
      </c>
      <c r="C898" s="42"/>
      <c r="D898" s="42"/>
      <c r="E898" s="42">
        <f t="shared" si="408"/>
        <v>0</v>
      </c>
      <c r="F898" s="42">
        <f t="shared" si="404"/>
        <v>0</v>
      </c>
      <c r="G898" s="42"/>
      <c r="H898" s="42"/>
      <c r="I898" s="62"/>
      <c r="J898" s="42"/>
      <c r="K898" s="42"/>
      <c r="L898" s="42"/>
      <c r="M898" s="42"/>
      <c r="N898" s="42"/>
      <c r="O898" s="42"/>
      <c r="P898" s="42"/>
      <c r="Q898" s="58"/>
      <c r="R898" s="42">
        <f t="shared" si="407"/>
        <v>0</v>
      </c>
      <c r="S898" s="42"/>
      <c r="T898" s="168"/>
    </row>
    <row r="899" spans="1:20" hidden="1" x14ac:dyDescent="0.25">
      <c r="A899" s="61"/>
      <c r="B899" s="51" t="s">
        <v>29</v>
      </c>
      <c r="C899" s="42"/>
      <c r="D899" s="42"/>
      <c r="E899" s="42">
        <f t="shared" si="408"/>
        <v>0</v>
      </c>
      <c r="F899" s="42">
        <f t="shared" si="404"/>
        <v>0</v>
      </c>
      <c r="G899" s="42"/>
      <c r="H899" s="42"/>
      <c r="I899" s="62"/>
      <c r="J899" s="42"/>
      <c r="K899" s="42"/>
      <c r="L899" s="42"/>
      <c r="M899" s="42"/>
      <c r="N899" s="42"/>
      <c r="O899" s="42"/>
      <c r="P899" s="42"/>
      <c r="Q899" s="58"/>
      <c r="R899" s="42">
        <f t="shared" si="407"/>
        <v>0</v>
      </c>
      <c r="S899" s="42"/>
      <c r="T899" s="168"/>
    </row>
    <row r="900" spans="1:20" ht="51.75" hidden="1" x14ac:dyDescent="0.25">
      <c r="A900" s="61" t="s">
        <v>62</v>
      </c>
      <c r="B900" s="51" t="s">
        <v>57</v>
      </c>
      <c r="C900" s="42"/>
      <c r="D900" s="42"/>
      <c r="E900" s="42">
        <f t="shared" si="408"/>
        <v>0</v>
      </c>
      <c r="F900" s="42">
        <f t="shared" si="404"/>
        <v>0</v>
      </c>
      <c r="G900" s="42"/>
      <c r="H900" s="42"/>
      <c r="I900" s="62"/>
      <c r="J900" s="42"/>
      <c r="K900" s="42"/>
      <c r="L900" s="42"/>
      <c r="M900" s="42"/>
      <c r="N900" s="42"/>
      <c r="O900" s="42"/>
      <c r="P900" s="42"/>
      <c r="Q900" s="58"/>
      <c r="R900" s="42">
        <f t="shared" si="407"/>
        <v>0</v>
      </c>
      <c r="S900" s="42"/>
      <c r="T900" s="168"/>
    </row>
    <row r="901" spans="1:20" hidden="1" x14ac:dyDescent="0.25">
      <c r="A901" s="61"/>
      <c r="B901" s="51" t="s">
        <v>27</v>
      </c>
      <c r="C901" s="42"/>
      <c r="D901" s="42"/>
      <c r="E901" s="42">
        <f t="shared" si="408"/>
        <v>0</v>
      </c>
      <c r="F901" s="42">
        <f t="shared" si="404"/>
        <v>0</v>
      </c>
      <c r="G901" s="42"/>
      <c r="H901" s="42"/>
      <c r="I901" s="62"/>
      <c r="J901" s="42"/>
      <c r="K901" s="42"/>
      <c r="L901" s="42"/>
      <c r="M901" s="42"/>
      <c r="N901" s="42"/>
      <c r="O901" s="42"/>
      <c r="P901" s="42"/>
      <c r="Q901" s="58"/>
      <c r="R901" s="42">
        <f t="shared" si="407"/>
        <v>0</v>
      </c>
      <c r="S901" s="42"/>
      <c r="T901" s="168"/>
    </row>
    <row r="902" spans="1:20" hidden="1" x14ac:dyDescent="0.25">
      <c r="A902" s="61"/>
      <c r="B902" s="51" t="s">
        <v>28</v>
      </c>
      <c r="C902" s="42"/>
      <c r="D902" s="42"/>
      <c r="E902" s="42">
        <f t="shared" si="408"/>
        <v>0</v>
      </c>
      <c r="F902" s="42">
        <f t="shared" si="404"/>
        <v>0</v>
      </c>
      <c r="G902" s="42"/>
      <c r="H902" s="42"/>
      <c r="I902" s="62"/>
      <c r="J902" s="42"/>
      <c r="K902" s="42"/>
      <c r="L902" s="42"/>
      <c r="M902" s="42"/>
      <c r="N902" s="42"/>
      <c r="O902" s="42"/>
      <c r="P902" s="42"/>
      <c r="Q902" s="58"/>
      <c r="R902" s="42">
        <f t="shared" si="407"/>
        <v>0</v>
      </c>
      <c r="S902" s="42"/>
      <c r="T902" s="168"/>
    </row>
    <row r="903" spans="1:20" hidden="1" x14ac:dyDescent="0.25">
      <c r="A903" s="61"/>
      <c r="B903" s="51" t="s">
        <v>29</v>
      </c>
      <c r="C903" s="42"/>
      <c r="D903" s="42"/>
      <c r="E903" s="42">
        <f t="shared" si="408"/>
        <v>0</v>
      </c>
      <c r="F903" s="42">
        <f t="shared" si="404"/>
        <v>0</v>
      </c>
      <c r="G903" s="42"/>
      <c r="H903" s="42"/>
      <c r="I903" s="62"/>
      <c r="J903" s="42"/>
      <c r="K903" s="42"/>
      <c r="L903" s="42"/>
      <c r="M903" s="42"/>
      <c r="N903" s="42"/>
      <c r="O903" s="42"/>
      <c r="P903" s="42"/>
      <c r="Q903" s="58"/>
      <c r="R903" s="42">
        <f t="shared" si="407"/>
        <v>0</v>
      </c>
      <c r="S903" s="42"/>
      <c r="T903" s="168"/>
    </row>
    <row r="904" spans="1:20" ht="51.75" hidden="1" x14ac:dyDescent="0.25">
      <c r="A904" s="61" t="s">
        <v>63</v>
      </c>
      <c r="B904" s="51" t="s">
        <v>58</v>
      </c>
      <c r="C904" s="42"/>
      <c r="D904" s="42"/>
      <c r="E904" s="42">
        <f t="shared" si="408"/>
        <v>0</v>
      </c>
      <c r="F904" s="42">
        <f t="shared" si="404"/>
        <v>0</v>
      </c>
      <c r="G904" s="42"/>
      <c r="H904" s="42"/>
      <c r="I904" s="62"/>
      <c r="J904" s="42"/>
      <c r="K904" s="42"/>
      <c r="L904" s="42"/>
      <c r="M904" s="42"/>
      <c r="N904" s="42"/>
      <c r="O904" s="42"/>
      <c r="P904" s="42"/>
      <c r="Q904" s="58"/>
      <c r="R904" s="42">
        <f t="shared" si="407"/>
        <v>0</v>
      </c>
      <c r="S904" s="42"/>
      <c r="T904" s="168"/>
    </row>
    <row r="905" spans="1:20" hidden="1" x14ac:dyDescent="0.25">
      <c r="A905" s="61"/>
      <c r="B905" s="51" t="s">
        <v>27</v>
      </c>
      <c r="C905" s="42"/>
      <c r="D905" s="42"/>
      <c r="E905" s="42">
        <f t="shared" si="408"/>
        <v>0</v>
      </c>
      <c r="F905" s="42">
        <f t="shared" si="404"/>
        <v>0</v>
      </c>
      <c r="G905" s="42"/>
      <c r="H905" s="42"/>
      <c r="I905" s="62"/>
      <c r="J905" s="42"/>
      <c r="K905" s="42"/>
      <c r="L905" s="42"/>
      <c r="M905" s="42"/>
      <c r="N905" s="42"/>
      <c r="O905" s="42"/>
      <c r="P905" s="42"/>
      <c r="Q905" s="58"/>
      <c r="R905" s="42">
        <f t="shared" si="407"/>
        <v>0</v>
      </c>
      <c r="S905" s="42"/>
      <c r="T905" s="168"/>
    </row>
    <row r="906" spans="1:20" hidden="1" x14ac:dyDescent="0.25">
      <c r="A906" s="61"/>
      <c r="B906" s="51" t="s">
        <v>28</v>
      </c>
      <c r="C906" s="42"/>
      <c r="D906" s="42"/>
      <c r="E906" s="42">
        <f t="shared" si="408"/>
        <v>0</v>
      </c>
      <c r="F906" s="42">
        <f t="shared" si="404"/>
        <v>0</v>
      </c>
      <c r="G906" s="42"/>
      <c r="H906" s="42"/>
      <c r="I906" s="62"/>
      <c r="J906" s="42"/>
      <c r="K906" s="42"/>
      <c r="L906" s="42"/>
      <c r="M906" s="42"/>
      <c r="N906" s="42"/>
      <c r="O906" s="42"/>
      <c r="P906" s="42"/>
      <c r="Q906" s="58"/>
      <c r="R906" s="42">
        <f t="shared" si="407"/>
        <v>0</v>
      </c>
      <c r="S906" s="42"/>
      <c r="T906" s="168"/>
    </row>
    <row r="907" spans="1:20" hidden="1" x14ac:dyDescent="0.25">
      <c r="A907" s="61"/>
      <c r="B907" s="51" t="s">
        <v>29</v>
      </c>
      <c r="C907" s="42"/>
      <c r="D907" s="42"/>
      <c r="E907" s="42">
        <f t="shared" si="408"/>
        <v>0</v>
      </c>
      <c r="F907" s="42">
        <f t="shared" si="404"/>
        <v>0</v>
      </c>
      <c r="G907" s="42"/>
      <c r="H907" s="42"/>
      <c r="I907" s="62"/>
      <c r="J907" s="42"/>
      <c r="K907" s="42"/>
      <c r="L907" s="42"/>
      <c r="M907" s="42"/>
      <c r="N907" s="42"/>
      <c r="O907" s="42"/>
      <c r="P907" s="42"/>
      <c r="Q907" s="58"/>
      <c r="R907" s="42">
        <f t="shared" si="407"/>
        <v>0</v>
      </c>
      <c r="S907" s="42"/>
      <c r="T907" s="168"/>
    </row>
    <row r="908" spans="1:20" ht="39" hidden="1" x14ac:dyDescent="0.25">
      <c r="A908" s="61" t="s">
        <v>64</v>
      </c>
      <c r="B908" s="51" t="s">
        <v>30</v>
      </c>
      <c r="C908" s="42"/>
      <c r="D908" s="42"/>
      <c r="E908" s="42">
        <f t="shared" si="408"/>
        <v>0</v>
      </c>
      <c r="F908" s="42">
        <f t="shared" si="404"/>
        <v>0</v>
      </c>
      <c r="G908" s="42"/>
      <c r="H908" s="42"/>
      <c r="I908" s="62"/>
      <c r="J908" s="42"/>
      <c r="K908" s="42"/>
      <c r="L908" s="42"/>
      <c r="M908" s="42"/>
      <c r="N908" s="42"/>
      <c r="O908" s="42"/>
      <c r="P908" s="42"/>
      <c r="Q908" s="58"/>
      <c r="R908" s="42">
        <f t="shared" si="407"/>
        <v>0</v>
      </c>
      <c r="S908" s="42"/>
      <c r="T908" s="168"/>
    </row>
    <row r="909" spans="1:20" hidden="1" x14ac:dyDescent="0.25">
      <c r="A909" s="61"/>
      <c r="B909" s="51" t="s">
        <v>27</v>
      </c>
      <c r="C909" s="42"/>
      <c r="D909" s="42"/>
      <c r="E909" s="42">
        <f t="shared" si="408"/>
        <v>0</v>
      </c>
      <c r="F909" s="42">
        <f t="shared" si="404"/>
        <v>0</v>
      </c>
      <c r="G909" s="42"/>
      <c r="H909" s="42"/>
      <c r="I909" s="62"/>
      <c r="J909" s="42"/>
      <c r="K909" s="42"/>
      <c r="L909" s="42"/>
      <c r="M909" s="42"/>
      <c r="N909" s="42"/>
      <c r="O909" s="42"/>
      <c r="P909" s="42"/>
      <c r="Q909" s="58"/>
      <c r="R909" s="42">
        <f t="shared" si="407"/>
        <v>0</v>
      </c>
      <c r="S909" s="42"/>
      <c r="T909" s="168"/>
    </row>
    <row r="910" spans="1:20" hidden="1" x14ac:dyDescent="0.25">
      <c r="A910" s="61"/>
      <c r="B910" s="51" t="s">
        <v>28</v>
      </c>
      <c r="C910" s="42"/>
      <c r="D910" s="42"/>
      <c r="E910" s="42">
        <f t="shared" si="408"/>
        <v>0</v>
      </c>
      <c r="F910" s="42">
        <f t="shared" si="404"/>
        <v>0</v>
      </c>
      <c r="G910" s="42"/>
      <c r="H910" s="42"/>
      <c r="I910" s="62"/>
      <c r="J910" s="42"/>
      <c r="K910" s="42"/>
      <c r="L910" s="42"/>
      <c r="M910" s="42"/>
      <c r="N910" s="42"/>
      <c r="O910" s="42"/>
      <c r="P910" s="42"/>
      <c r="Q910" s="58"/>
      <c r="R910" s="42">
        <f t="shared" si="407"/>
        <v>0</v>
      </c>
      <c r="S910" s="42"/>
      <c r="T910" s="168"/>
    </row>
    <row r="911" spans="1:20" hidden="1" x14ac:dyDescent="0.25">
      <c r="A911" s="61"/>
      <c r="B911" s="51" t="s">
        <v>29</v>
      </c>
      <c r="C911" s="42"/>
      <c r="D911" s="42"/>
      <c r="E911" s="42">
        <f t="shared" si="408"/>
        <v>0</v>
      </c>
      <c r="F911" s="42">
        <f t="shared" si="404"/>
        <v>0</v>
      </c>
      <c r="G911" s="42"/>
      <c r="H911" s="42"/>
      <c r="I911" s="62"/>
      <c r="J911" s="42"/>
      <c r="K911" s="42"/>
      <c r="L911" s="42"/>
      <c r="M911" s="42"/>
      <c r="N911" s="42"/>
      <c r="O911" s="42"/>
      <c r="P911" s="42"/>
      <c r="Q911" s="58"/>
      <c r="R911" s="42">
        <f t="shared" si="407"/>
        <v>0</v>
      </c>
      <c r="S911" s="42"/>
      <c r="T911" s="168"/>
    </row>
    <row r="912" spans="1:20" ht="39" hidden="1" x14ac:dyDescent="0.25">
      <c r="A912" s="61"/>
      <c r="B912" s="51" t="s">
        <v>9</v>
      </c>
      <c r="C912" s="42"/>
      <c r="D912" s="42"/>
      <c r="E912" s="42">
        <f t="shared" si="408"/>
        <v>0</v>
      </c>
      <c r="F912" s="42">
        <f t="shared" si="404"/>
        <v>0</v>
      </c>
      <c r="G912" s="42"/>
      <c r="H912" s="42"/>
      <c r="I912" s="62"/>
      <c r="J912" s="42"/>
      <c r="K912" s="42"/>
      <c r="L912" s="42"/>
      <c r="M912" s="42"/>
      <c r="N912" s="42"/>
      <c r="O912" s="42"/>
      <c r="P912" s="42"/>
      <c r="Q912" s="58"/>
      <c r="R912" s="42">
        <f t="shared" si="407"/>
        <v>0</v>
      </c>
      <c r="S912" s="42"/>
      <c r="T912" s="168"/>
    </row>
    <row r="913" spans="1:23" ht="39" hidden="1" x14ac:dyDescent="0.25">
      <c r="A913" s="61"/>
      <c r="B913" s="51" t="s">
        <v>11</v>
      </c>
      <c r="C913" s="42"/>
      <c r="D913" s="42"/>
      <c r="E913" s="42">
        <f t="shared" si="408"/>
        <v>0</v>
      </c>
      <c r="F913" s="42">
        <f t="shared" si="404"/>
        <v>0</v>
      </c>
      <c r="G913" s="42"/>
      <c r="H913" s="42"/>
      <c r="I913" s="62"/>
      <c r="J913" s="42"/>
      <c r="K913" s="42"/>
      <c r="L913" s="42"/>
      <c r="M913" s="42"/>
      <c r="N913" s="42"/>
      <c r="O913" s="42"/>
      <c r="P913" s="42"/>
      <c r="Q913" s="58"/>
      <c r="R913" s="42">
        <f t="shared" si="407"/>
        <v>0</v>
      </c>
      <c r="S913" s="42"/>
      <c r="T913" s="168"/>
    </row>
    <row r="914" spans="1:23" hidden="1" x14ac:dyDescent="0.25">
      <c r="A914" s="61"/>
      <c r="B914" s="51" t="s">
        <v>13</v>
      </c>
      <c r="C914" s="42"/>
      <c r="D914" s="42"/>
      <c r="E914" s="42">
        <f t="shared" si="408"/>
        <v>0</v>
      </c>
      <c r="F914" s="42">
        <f t="shared" si="404"/>
        <v>0</v>
      </c>
      <c r="G914" s="42"/>
      <c r="H914" s="42"/>
      <c r="I914" s="62"/>
      <c r="J914" s="42"/>
      <c r="K914" s="42"/>
      <c r="L914" s="42"/>
      <c r="M914" s="42"/>
      <c r="N914" s="42"/>
      <c r="O914" s="42"/>
      <c r="P914" s="42"/>
      <c r="Q914" s="58"/>
      <c r="R914" s="42">
        <f t="shared" si="407"/>
        <v>0</v>
      </c>
      <c r="S914" s="42"/>
      <c r="T914" s="168"/>
    </row>
    <row r="915" spans="1:23" hidden="1" x14ac:dyDescent="0.25">
      <c r="A915" s="61"/>
      <c r="B915" s="61" t="s">
        <v>14</v>
      </c>
      <c r="C915" s="42"/>
      <c r="D915" s="42"/>
      <c r="E915" s="42">
        <f t="shared" si="408"/>
        <v>0</v>
      </c>
      <c r="F915" s="42">
        <f t="shared" si="404"/>
        <v>0</v>
      </c>
      <c r="G915" s="42"/>
      <c r="H915" s="42"/>
      <c r="I915" s="62"/>
      <c r="J915" s="42"/>
      <c r="K915" s="42"/>
      <c r="L915" s="42"/>
      <c r="M915" s="42"/>
      <c r="N915" s="42"/>
      <c r="O915" s="42"/>
      <c r="P915" s="42"/>
      <c r="Q915" s="58"/>
      <c r="R915" s="42">
        <f t="shared" si="407"/>
        <v>0</v>
      </c>
      <c r="S915" s="42"/>
      <c r="T915" s="168"/>
    </row>
    <row r="916" spans="1:23" hidden="1" x14ac:dyDescent="0.25">
      <c r="A916" s="61"/>
      <c r="B916" s="61" t="s">
        <v>17</v>
      </c>
      <c r="C916" s="42"/>
      <c r="D916" s="42"/>
      <c r="E916" s="42">
        <f t="shared" si="408"/>
        <v>0</v>
      </c>
      <c r="F916" s="42">
        <f t="shared" si="404"/>
        <v>0</v>
      </c>
      <c r="G916" s="42"/>
      <c r="H916" s="42"/>
      <c r="I916" s="62"/>
      <c r="J916" s="42"/>
      <c r="K916" s="42"/>
      <c r="L916" s="42"/>
      <c r="M916" s="42"/>
      <c r="N916" s="42"/>
      <c r="O916" s="42"/>
      <c r="P916" s="42"/>
      <c r="Q916" s="58"/>
      <c r="R916" s="42">
        <f t="shared" si="407"/>
        <v>0</v>
      </c>
      <c r="S916" s="42"/>
      <c r="T916" s="168"/>
    </row>
    <row r="917" spans="1:23" hidden="1" x14ac:dyDescent="0.25">
      <c r="A917" s="61"/>
      <c r="B917" s="61" t="s">
        <v>14</v>
      </c>
      <c r="C917" s="42"/>
      <c r="D917" s="42"/>
      <c r="E917" s="42">
        <f t="shared" si="408"/>
        <v>0</v>
      </c>
      <c r="F917" s="42">
        <f t="shared" si="404"/>
        <v>0</v>
      </c>
      <c r="G917" s="42"/>
      <c r="H917" s="42"/>
      <c r="I917" s="62"/>
      <c r="J917" s="42"/>
      <c r="K917" s="42"/>
      <c r="L917" s="42"/>
      <c r="M917" s="42"/>
      <c r="N917" s="42"/>
      <c r="O917" s="42"/>
      <c r="P917" s="42"/>
      <c r="Q917" s="58"/>
      <c r="R917" s="42">
        <f t="shared" si="407"/>
        <v>0</v>
      </c>
      <c r="S917" s="42"/>
      <c r="T917" s="168"/>
    </row>
    <row r="918" spans="1:23" hidden="1" x14ac:dyDescent="0.25">
      <c r="A918" s="65"/>
      <c r="B918" s="51" t="s">
        <v>13</v>
      </c>
      <c r="C918" s="42"/>
      <c r="D918" s="42"/>
      <c r="E918" s="42">
        <f t="shared" si="408"/>
        <v>0</v>
      </c>
      <c r="F918" s="42">
        <f t="shared" si="404"/>
        <v>0</v>
      </c>
      <c r="G918" s="42"/>
      <c r="H918" s="42"/>
      <c r="I918" s="62"/>
      <c r="J918" s="42"/>
      <c r="K918" s="42"/>
      <c r="L918" s="42"/>
      <c r="M918" s="42"/>
      <c r="N918" s="42"/>
      <c r="O918" s="42"/>
      <c r="P918" s="42"/>
      <c r="Q918" s="58"/>
      <c r="R918" s="42">
        <f t="shared" si="407"/>
        <v>0</v>
      </c>
      <c r="S918" s="42"/>
      <c r="T918" s="168"/>
    </row>
    <row r="919" spans="1:23" s="60" customFormat="1" hidden="1" x14ac:dyDescent="0.25">
      <c r="A919" s="56"/>
      <c r="B919" s="51" t="s">
        <v>27</v>
      </c>
      <c r="C919" s="58"/>
      <c r="D919" s="58"/>
      <c r="E919" s="42">
        <f t="shared" si="408"/>
        <v>0</v>
      </c>
      <c r="F919" s="42">
        <f t="shared" si="404"/>
        <v>0</v>
      </c>
      <c r="G919" s="58"/>
      <c r="H919" s="58"/>
      <c r="I919" s="59"/>
      <c r="J919" s="58"/>
      <c r="K919" s="42"/>
      <c r="L919" s="58"/>
      <c r="M919" s="42"/>
      <c r="N919" s="58"/>
      <c r="O919" s="42"/>
      <c r="P919" s="42"/>
      <c r="Q919" s="58"/>
      <c r="R919" s="42">
        <f t="shared" si="407"/>
        <v>0</v>
      </c>
      <c r="S919" s="58"/>
      <c r="T919" s="168"/>
      <c r="U919" s="68"/>
      <c r="V919" s="66"/>
      <c r="W919" s="66"/>
    </row>
    <row r="920" spans="1:23" hidden="1" x14ac:dyDescent="0.25">
      <c r="A920" s="61"/>
      <c r="B920" s="51" t="s">
        <v>28</v>
      </c>
      <c r="C920" s="42"/>
      <c r="D920" s="42"/>
      <c r="E920" s="42">
        <f t="shared" si="408"/>
        <v>0</v>
      </c>
      <c r="F920" s="42">
        <f t="shared" si="404"/>
        <v>0</v>
      </c>
      <c r="G920" s="42"/>
      <c r="H920" s="42"/>
      <c r="I920" s="62"/>
      <c r="J920" s="42"/>
      <c r="K920" s="42"/>
      <c r="L920" s="42"/>
      <c r="M920" s="42"/>
      <c r="N920" s="42"/>
      <c r="O920" s="42"/>
      <c r="P920" s="42"/>
      <c r="Q920" s="58"/>
      <c r="R920" s="42">
        <f t="shared" si="407"/>
        <v>0</v>
      </c>
      <c r="S920" s="42"/>
      <c r="T920" s="168"/>
    </row>
    <row r="921" spans="1:23" hidden="1" x14ac:dyDescent="0.25">
      <c r="A921" s="61"/>
      <c r="B921" s="51" t="s">
        <v>29</v>
      </c>
      <c r="C921" s="42"/>
      <c r="D921" s="42"/>
      <c r="E921" s="42">
        <f t="shared" si="408"/>
        <v>0</v>
      </c>
      <c r="F921" s="42">
        <f t="shared" si="404"/>
        <v>0</v>
      </c>
      <c r="G921" s="42"/>
      <c r="H921" s="42"/>
      <c r="I921" s="62"/>
      <c r="J921" s="42"/>
      <c r="K921" s="42"/>
      <c r="L921" s="42"/>
      <c r="M921" s="42"/>
      <c r="N921" s="42"/>
      <c r="O921" s="42"/>
      <c r="P921" s="42"/>
      <c r="Q921" s="58"/>
      <c r="R921" s="42">
        <f t="shared" si="407"/>
        <v>0</v>
      </c>
      <c r="S921" s="42"/>
      <c r="T921" s="168"/>
    </row>
    <row r="922" spans="1:23" s="60" customFormat="1" x14ac:dyDescent="0.25">
      <c r="A922" s="56">
        <v>2</v>
      </c>
      <c r="B922" s="8" t="s">
        <v>235</v>
      </c>
      <c r="C922" s="58"/>
      <c r="D922" s="58"/>
      <c r="E922" s="58"/>
      <c r="F922" s="58"/>
      <c r="G922" s="58"/>
      <c r="H922" s="58"/>
      <c r="I922" s="59"/>
      <c r="J922" s="58"/>
      <c r="K922" s="58"/>
      <c r="L922" s="58"/>
      <c r="M922" s="58"/>
      <c r="N922" s="58"/>
      <c r="O922" s="58"/>
      <c r="P922" s="42"/>
      <c r="Q922" s="58"/>
      <c r="R922" s="58"/>
      <c r="S922" s="58"/>
      <c r="T922" s="168"/>
      <c r="U922" s="68"/>
      <c r="V922" s="66"/>
      <c r="W922" s="66"/>
    </row>
    <row r="923" spans="1:23" ht="39" hidden="1" x14ac:dyDescent="0.25">
      <c r="A923" s="61" t="s">
        <v>15</v>
      </c>
      <c r="B923" s="51" t="s">
        <v>54</v>
      </c>
      <c r="C923" s="42"/>
      <c r="D923" s="42"/>
      <c r="E923" s="42"/>
      <c r="F923" s="42"/>
      <c r="G923" s="42"/>
      <c r="H923" s="42"/>
      <c r="I923" s="62"/>
      <c r="J923" s="42"/>
      <c r="K923" s="42"/>
      <c r="L923" s="42"/>
      <c r="M923" s="42"/>
      <c r="N923" s="42"/>
      <c r="O923" s="42"/>
      <c r="P923" s="42"/>
      <c r="Q923" s="58"/>
      <c r="R923" s="42"/>
      <c r="S923" s="42"/>
      <c r="T923" s="169"/>
    </row>
    <row r="924" spans="1:23" hidden="1" x14ac:dyDescent="0.25">
      <c r="A924" s="61"/>
      <c r="B924" s="51" t="s">
        <v>27</v>
      </c>
      <c r="C924" s="42"/>
      <c r="D924" s="42"/>
      <c r="E924" s="42"/>
      <c r="F924" s="42"/>
      <c r="G924" s="42"/>
      <c r="H924" s="42"/>
      <c r="I924" s="62"/>
      <c r="J924" s="42"/>
      <c r="K924" s="42"/>
      <c r="L924" s="42"/>
      <c r="M924" s="42"/>
      <c r="N924" s="42"/>
      <c r="O924" s="42"/>
      <c r="P924" s="42"/>
      <c r="Q924" s="58"/>
      <c r="R924" s="42"/>
      <c r="S924" s="42"/>
      <c r="T924" s="169"/>
    </row>
    <row r="925" spans="1:23" hidden="1" x14ac:dyDescent="0.25">
      <c r="A925" s="61"/>
      <c r="B925" s="51" t="s">
        <v>28</v>
      </c>
      <c r="C925" s="42"/>
      <c r="D925" s="42"/>
      <c r="E925" s="42"/>
      <c r="F925" s="42"/>
      <c r="G925" s="42"/>
      <c r="H925" s="42"/>
      <c r="I925" s="62"/>
      <c r="J925" s="42"/>
      <c r="K925" s="42"/>
      <c r="L925" s="42"/>
      <c r="M925" s="42"/>
      <c r="N925" s="42"/>
      <c r="O925" s="42"/>
      <c r="P925" s="42"/>
      <c r="Q925" s="58"/>
      <c r="R925" s="42"/>
      <c r="S925" s="42"/>
      <c r="T925" s="169"/>
    </row>
    <row r="926" spans="1:23" hidden="1" x14ac:dyDescent="0.25">
      <c r="A926" s="61"/>
      <c r="B926" s="51" t="s">
        <v>29</v>
      </c>
      <c r="C926" s="42"/>
      <c r="D926" s="42"/>
      <c r="E926" s="42"/>
      <c r="F926" s="42"/>
      <c r="G926" s="42"/>
      <c r="H926" s="42"/>
      <c r="I926" s="62"/>
      <c r="J926" s="42"/>
      <c r="K926" s="42"/>
      <c r="L926" s="42"/>
      <c r="M926" s="42"/>
      <c r="N926" s="42"/>
      <c r="O926" s="42"/>
      <c r="P926" s="42"/>
      <c r="Q926" s="58"/>
      <c r="R926" s="42"/>
      <c r="S926" s="42"/>
      <c r="T926" s="169"/>
    </row>
    <row r="927" spans="1:23" ht="39" hidden="1" x14ac:dyDescent="0.25">
      <c r="A927" s="61" t="s">
        <v>59</v>
      </c>
      <c r="B927" s="51" t="s">
        <v>68</v>
      </c>
      <c r="C927" s="42"/>
      <c r="D927" s="42"/>
      <c r="E927" s="42"/>
      <c r="F927" s="42"/>
      <c r="G927" s="42"/>
      <c r="H927" s="42"/>
      <c r="I927" s="62"/>
      <c r="J927" s="42"/>
      <c r="K927" s="42"/>
      <c r="L927" s="42"/>
      <c r="M927" s="42"/>
      <c r="N927" s="42"/>
      <c r="O927" s="42"/>
      <c r="P927" s="42"/>
      <c r="Q927" s="58"/>
      <c r="R927" s="42"/>
      <c r="S927" s="42"/>
      <c r="T927" s="169"/>
    </row>
    <row r="928" spans="1:23" hidden="1" x14ac:dyDescent="0.25">
      <c r="A928" s="61"/>
      <c r="B928" s="51" t="s">
        <v>27</v>
      </c>
      <c r="C928" s="42"/>
      <c r="D928" s="42"/>
      <c r="E928" s="42"/>
      <c r="F928" s="42"/>
      <c r="G928" s="42"/>
      <c r="H928" s="42"/>
      <c r="I928" s="62"/>
      <c r="J928" s="42"/>
      <c r="K928" s="42"/>
      <c r="L928" s="42"/>
      <c r="M928" s="42"/>
      <c r="N928" s="42"/>
      <c r="O928" s="42"/>
      <c r="P928" s="42"/>
      <c r="Q928" s="58"/>
      <c r="R928" s="42"/>
      <c r="S928" s="42"/>
      <c r="T928" s="169"/>
    </row>
    <row r="929" spans="1:20" hidden="1" x14ac:dyDescent="0.25">
      <c r="A929" s="61"/>
      <c r="B929" s="51" t="s">
        <v>28</v>
      </c>
      <c r="C929" s="42"/>
      <c r="D929" s="42"/>
      <c r="E929" s="42"/>
      <c r="F929" s="42"/>
      <c r="G929" s="42"/>
      <c r="H929" s="42"/>
      <c r="I929" s="62"/>
      <c r="J929" s="42"/>
      <c r="K929" s="42"/>
      <c r="L929" s="42"/>
      <c r="M929" s="42"/>
      <c r="N929" s="42"/>
      <c r="O929" s="42"/>
      <c r="P929" s="42"/>
      <c r="Q929" s="58"/>
      <c r="R929" s="42"/>
      <c r="S929" s="42"/>
      <c r="T929" s="169"/>
    </row>
    <row r="930" spans="1:20" hidden="1" x14ac:dyDescent="0.25">
      <c r="A930" s="61"/>
      <c r="B930" s="51" t="s">
        <v>29</v>
      </c>
      <c r="C930" s="42"/>
      <c r="D930" s="42"/>
      <c r="E930" s="42"/>
      <c r="F930" s="42"/>
      <c r="G930" s="42"/>
      <c r="H930" s="42"/>
      <c r="I930" s="62"/>
      <c r="J930" s="42"/>
      <c r="K930" s="42"/>
      <c r="L930" s="42"/>
      <c r="M930" s="42"/>
      <c r="N930" s="42"/>
      <c r="O930" s="42"/>
      <c r="P930" s="42"/>
      <c r="Q930" s="58"/>
      <c r="R930" s="42"/>
      <c r="S930" s="42"/>
      <c r="T930" s="169"/>
    </row>
    <row r="931" spans="1:20" ht="39" x14ac:dyDescent="0.25">
      <c r="A931" s="61" t="s">
        <v>247</v>
      </c>
      <c r="B931" s="51" t="s">
        <v>55</v>
      </c>
      <c r="C931" s="42"/>
      <c r="D931" s="42"/>
      <c r="E931" s="42"/>
      <c r="F931" s="42"/>
      <c r="G931" s="42"/>
      <c r="H931" s="42"/>
      <c r="I931" s="62"/>
      <c r="J931" s="42"/>
      <c r="K931" s="42"/>
      <c r="L931" s="42"/>
      <c r="M931" s="42"/>
      <c r="N931" s="42"/>
      <c r="O931" s="42"/>
      <c r="P931" s="42"/>
      <c r="Q931" s="58"/>
      <c r="R931" s="42"/>
      <c r="S931" s="42"/>
      <c r="T931" s="168"/>
    </row>
    <row r="932" spans="1:20" x14ac:dyDescent="0.25">
      <c r="A932" s="61"/>
      <c r="B932" s="51" t="s">
        <v>287</v>
      </c>
      <c r="C932" s="42"/>
      <c r="D932" s="42"/>
      <c r="E932" s="42"/>
      <c r="F932" s="42"/>
      <c r="G932" s="42"/>
      <c r="H932" s="42"/>
      <c r="I932" s="62"/>
      <c r="J932" s="42"/>
      <c r="K932" s="42"/>
      <c r="L932" s="42"/>
      <c r="M932" s="42"/>
      <c r="N932" s="42"/>
      <c r="O932" s="42"/>
      <c r="P932" s="42"/>
      <c r="Q932" s="58"/>
      <c r="R932" s="42"/>
      <c r="S932" s="42"/>
      <c r="T932" s="168"/>
    </row>
    <row r="933" spans="1:20" x14ac:dyDescent="0.25">
      <c r="A933" s="61"/>
      <c r="B933" s="51" t="s">
        <v>28</v>
      </c>
      <c r="C933" s="42"/>
      <c r="D933" s="42"/>
      <c r="E933" s="42"/>
      <c r="F933" s="42"/>
      <c r="G933" s="42"/>
      <c r="H933" s="42"/>
      <c r="I933" s="62"/>
      <c r="J933" s="42"/>
      <c r="K933" s="42"/>
      <c r="L933" s="42"/>
      <c r="M933" s="42"/>
      <c r="N933" s="42"/>
      <c r="O933" s="42"/>
      <c r="P933" s="42"/>
      <c r="Q933" s="58"/>
      <c r="R933" s="42"/>
      <c r="S933" s="42"/>
      <c r="T933" s="168"/>
    </row>
    <row r="934" spans="1:20" x14ac:dyDescent="0.25">
      <c r="A934" s="61"/>
      <c r="B934" s="51" t="s">
        <v>289</v>
      </c>
      <c r="C934" s="42"/>
      <c r="D934" s="42"/>
      <c r="E934" s="42"/>
      <c r="F934" s="42"/>
      <c r="G934" s="42"/>
      <c r="H934" s="42"/>
      <c r="I934" s="62"/>
      <c r="J934" s="42"/>
      <c r="K934" s="42"/>
      <c r="L934" s="42"/>
      <c r="M934" s="42"/>
      <c r="N934" s="42"/>
      <c r="O934" s="42"/>
      <c r="P934" s="42"/>
      <c r="Q934" s="58"/>
      <c r="R934" s="42"/>
      <c r="S934" s="42"/>
      <c r="T934" s="168"/>
    </row>
    <row r="935" spans="1:20" ht="39" x14ac:dyDescent="0.25">
      <c r="A935" s="61" t="s">
        <v>61</v>
      </c>
      <c r="B935" s="51" t="s">
        <v>56</v>
      </c>
      <c r="C935" s="42"/>
      <c r="D935" s="42"/>
      <c r="E935" s="42"/>
      <c r="F935" s="42"/>
      <c r="G935" s="42"/>
      <c r="H935" s="42"/>
      <c r="I935" s="62"/>
      <c r="J935" s="42"/>
      <c r="K935" s="42"/>
      <c r="L935" s="42"/>
      <c r="M935" s="42"/>
      <c r="N935" s="42"/>
      <c r="O935" s="42"/>
      <c r="P935" s="42"/>
      <c r="Q935" s="58"/>
      <c r="R935" s="42"/>
      <c r="S935" s="42"/>
      <c r="T935" s="168"/>
    </row>
    <row r="936" spans="1:20" x14ac:dyDescent="0.25">
      <c r="A936" s="61"/>
      <c r="B936" s="51" t="s">
        <v>27</v>
      </c>
      <c r="C936" s="42">
        <v>8</v>
      </c>
      <c r="D936" s="42">
        <v>67698</v>
      </c>
      <c r="E936" s="42">
        <f t="shared" ref="E936:E938" si="412">C936*D936</f>
        <v>541584</v>
      </c>
      <c r="F936" s="42">
        <f t="shared" ref="F936:F938" si="413">ROUND(D936*35.045%,0)</f>
        <v>23725</v>
      </c>
      <c r="G936" s="42">
        <f t="shared" ref="G936" si="414">C936*F936</f>
        <v>189800</v>
      </c>
      <c r="H936" s="63">
        <v>17881.599999999999</v>
      </c>
      <c r="I936" s="63">
        <v>1.7729999999999999</v>
      </c>
      <c r="J936" s="42">
        <f t="shared" ref="J936" si="415">H936*I936</f>
        <v>31704.076799999995</v>
      </c>
      <c r="K936" s="42">
        <f>ROUND(C936*J936,0)+353967</f>
        <v>607600</v>
      </c>
      <c r="L936" s="42"/>
      <c r="M936" s="42"/>
      <c r="N936" s="42"/>
      <c r="O936" s="42"/>
      <c r="P936" s="42">
        <f t="shared" ref="P936:P957" si="416">D936+F936+J936+N936</f>
        <v>123127.0768</v>
      </c>
      <c r="Q936" s="58"/>
      <c r="R936" s="42">
        <f t="shared" ref="R936:R957" si="417">E936+G936+K936+O936</f>
        <v>1338984</v>
      </c>
      <c r="S936" s="42"/>
      <c r="T936" s="168"/>
    </row>
    <row r="937" spans="1:20" x14ac:dyDescent="0.25">
      <c r="A937" s="61"/>
      <c r="B937" s="51" t="s">
        <v>28</v>
      </c>
      <c r="C937" s="42">
        <v>20</v>
      </c>
      <c r="D937" s="42">
        <v>50772</v>
      </c>
      <c r="E937" s="42">
        <f t="shared" si="412"/>
        <v>1015440</v>
      </c>
      <c r="F937" s="42">
        <f t="shared" si="413"/>
        <v>17793</v>
      </c>
      <c r="G937" s="42">
        <f t="shared" ref="G937:G938" si="418">C937*F937</f>
        <v>355860</v>
      </c>
      <c r="H937" s="63">
        <v>17881.599999999999</v>
      </c>
      <c r="I937" s="63">
        <v>1.7729999999999999</v>
      </c>
      <c r="J937" s="42">
        <f t="shared" ref="J937:J956" si="419">H937*I937</f>
        <v>31704.076799999995</v>
      </c>
      <c r="K937" s="42">
        <f t="shared" ref="K937:K956" si="420">ROUND(C937*J937,0)</f>
        <v>634082</v>
      </c>
      <c r="L937" s="42"/>
      <c r="M937" s="42"/>
      <c r="N937" s="42"/>
      <c r="O937" s="42"/>
      <c r="P937" s="42">
        <f t="shared" si="416"/>
        <v>100269.0768</v>
      </c>
      <c r="Q937" s="58"/>
      <c r="R937" s="42">
        <f t="shared" si="417"/>
        <v>2005382</v>
      </c>
      <c r="S937" s="42"/>
      <c r="T937" s="168"/>
    </row>
    <row r="938" spans="1:20" x14ac:dyDescent="0.25">
      <c r="A938" s="61"/>
      <c r="B938" s="51" t="s">
        <v>29</v>
      </c>
      <c r="C938" s="42">
        <v>13</v>
      </c>
      <c r="D938" s="42">
        <v>50772</v>
      </c>
      <c r="E938" s="42">
        <f t="shared" si="412"/>
        <v>660036</v>
      </c>
      <c r="F938" s="42">
        <f t="shared" si="413"/>
        <v>17793</v>
      </c>
      <c r="G938" s="42">
        <f t="shared" si="418"/>
        <v>231309</v>
      </c>
      <c r="H938" s="63">
        <v>17881.599999999999</v>
      </c>
      <c r="I938" s="63">
        <v>1.7729999999999999</v>
      </c>
      <c r="J938" s="42">
        <f t="shared" si="419"/>
        <v>31704.076799999995</v>
      </c>
      <c r="K938" s="42">
        <f t="shared" si="420"/>
        <v>412153</v>
      </c>
      <c r="L938" s="42"/>
      <c r="M938" s="42"/>
      <c r="N938" s="42"/>
      <c r="O938" s="42"/>
      <c r="P938" s="42">
        <f t="shared" si="416"/>
        <v>100269.0768</v>
      </c>
      <c r="Q938" s="58"/>
      <c r="R938" s="42">
        <f t="shared" si="417"/>
        <v>1303498</v>
      </c>
      <c r="S938" s="42"/>
      <c r="T938" s="168"/>
    </row>
    <row r="939" spans="1:20" ht="51.75" hidden="1" x14ac:dyDescent="0.25">
      <c r="A939" s="61" t="s">
        <v>62</v>
      </c>
      <c r="B939" s="51" t="s">
        <v>57</v>
      </c>
      <c r="C939" s="42"/>
      <c r="D939" s="42"/>
      <c r="E939" s="42"/>
      <c r="F939" s="42">
        <f t="shared" ref="F939:F956" si="421">ROUND(D939*35%,0)</f>
        <v>0</v>
      </c>
      <c r="G939" s="42"/>
      <c r="H939" s="63">
        <v>16409.580000000002</v>
      </c>
      <c r="I939" s="63">
        <v>2.0310000000000001</v>
      </c>
      <c r="J939" s="42">
        <f t="shared" si="419"/>
        <v>33327.856980000004</v>
      </c>
      <c r="K939" s="42">
        <f t="shared" si="420"/>
        <v>0</v>
      </c>
      <c r="L939" s="42"/>
      <c r="M939" s="42"/>
      <c r="N939" s="42"/>
      <c r="O939" s="42"/>
      <c r="P939" s="42">
        <f t="shared" si="416"/>
        <v>33327.856980000004</v>
      </c>
      <c r="Q939" s="58"/>
      <c r="R939" s="42">
        <f t="shared" si="417"/>
        <v>0</v>
      </c>
      <c r="S939" s="42"/>
      <c r="T939" s="168"/>
    </row>
    <row r="940" spans="1:20" hidden="1" x14ac:dyDescent="0.25">
      <c r="A940" s="61"/>
      <c r="B940" s="51" t="s">
        <v>27</v>
      </c>
      <c r="C940" s="42"/>
      <c r="D940" s="42"/>
      <c r="E940" s="42"/>
      <c r="F940" s="42">
        <f t="shared" si="421"/>
        <v>0</v>
      </c>
      <c r="G940" s="42"/>
      <c r="H940" s="63">
        <v>16409.580000000002</v>
      </c>
      <c r="I940" s="63">
        <v>2.0310000000000001</v>
      </c>
      <c r="J940" s="42">
        <f t="shared" si="419"/>
        <v>33327.856980000004</v>
      </c>
      <c r="K940" s="42">
        <f t="shared" si="420"/>
        <v>0</v>
      </c>
      <c r="L940" s="42"/>
      <c r="M940" s="42"/>
      <c r="N940" s="42"/>
      <c r="O940" s="42"/>
      <c r="P940" s="42">
        <f t="shared" si="416"/>
        <v>33327.856980000004</v>
      </c>
      <c r="Q940" s="58"/>
      <c r="R940" s="42">
        <f t="shared" si="417"/>
        <v>0</v>
      </c>
      <c r="S940" s="42"/>
      <c r="T940" s="168"/>
    </row>
    <row r="941" spans="1:20" hidden="1" x14ac:dyDescent="0.25">
      <c r="A941" s="61"/>
      <c r="B941" s="51" t="s">
        <v>28</v>
      </c>
      <c r="C941" s="42"/>
      <c r="D941" s="42"/>
      <c r="E941" s="42"/>
      <c r="F941" s="42">
        <f t="shared" si="421"/>
        <v>0</v>
      </c>
      <c r="G941" s="42"/>
      <c r="H941" s="63">
        <v>16409.580000000002</v>
      </c>
      <c r="I941" s="63">
        <v>2.0310000000000001</v>
      </c>
      <c r="J941" s="42">
        <f t="shared" si="419"/>
        <v>33327.856980000004</v>
      </c>
      <c r="K941" s="42">
        <f t="shared" si="420"/>
        <v>0</v>
      </c>
      <c r="L941" s="42"/>
      <c r="M941" s="42"/>
      <c r="N941" s="42"/>
      <c r="O941" s="42"/>
      <c r="P941" s="42">
        <f t="shared" si="416"/>
        <v>33327.856980000004</v>
      </c>
      <c r="Q941" s="58"/>
      <c r="R941" s="42">
        <f t="shared" si="417"/>
        <v>0</v>
      </c>
      <c r="S941" s="42"/>
      <c r="T941" s="168"/>
    </row>
    <row r="942" spans="1:20" hidden="1" x14ac:dyDescent="0.25">
      <c r="A942" s="61"/>
      <c r="B942" s="51" t="s">
        <v>29</v>
      </c>
      <c r="C942" s="42"/>
      <c r="D942" s="42"/>
      <c r="E942" s="42"/>
      <c r="F942" s="42">
        <f t="shared" si="421"/>
        <v>0</v>
      </c>
      <c r="G942" s="42"/>
      <c r="H942" s="63">
        <v>16409.580000000002</v>
      </c>
      <c r="I942" s="63">
        <v>2.0310000000000001</v>
      </c>
      <c r="J942" s="42">
        <f t="shared" si="419"/>
        <v>33327.856980000004</v>
      </c>
      <c r="K942" s="42">
        <f t="shared" si="420"/>
        <v>0</v>
      </c>
      <c r="L942" s="42"/>
      <c r="M942" s="42"/>
      <c r="N942" s="42"/>
      <c r="O942" s="42"/>
      <c r="P942" s="42">
        <f t="shared" si="416"/>
        <v>33327.856980000004</v>
      </c>
      <c r="Q942" s="58"/>
      <c r="R942" s="42">
        <f t="shared" si="417"/>
        <v>0</v>
      </c>
      <c r="S942" s="42"/>
      <c r="T942" s="168"/>
    </row>
    <row r="943" spans="1:20" ht="51.75" hidden="1" x14ac:dyDescent="0.25">
      <c r="A943" s="61" t="s">
        <v>63</v>
      </c>
      <c r="B943" s="51" t="s">
        <v>58</v>
      </c>
      <c r="C943" s="42"/>
      <c r="D943" s="42"/>
      <c r="E943" s="42"/>
      <c r="F943" s="42">
        <f t="shared" si="421"/>
        <v>0</v>
      </c>
      <c r="G943" s="42"/>
      <c r="H943" s="63">
        <v>16409.580000000002</v>
      </c>
      <c r="I943" s="63">
        <v>2.0310000000000001</v>
      </c>
      <c r="J943" s="42">
        <f t="shared" si="419"/>
        <v>33327.856980000004</v>
      </c>
      <c r="K943" s="42">
        <f t="shared" si="420"/>
        <v>0</v>
      </c>
      <c r="L943" s="42"/>
      <c r="M943" s="42"/>
      <c r="N943" s="42"/>
      <c r="O943" s="42"/>
      <c r="P943" s="42">
        <f t="shared" si="416"/>
        <v>33327.856980000004</v>
      </c>
      <c r="Q943" s="58"/>
      <c r="R943" s="42">
        <f t="shared" si="417"/>
        <v>0</v>
      </c>
      <c r="S943" s="42"/>
      <c r="T943" s="168"/>
    </row>
    <row r="944" spans="1:20" hidden="1" x14ac:dyDescent="0.25">
      <c r="A944" s="61"/>
      <c r="B944" s="51" t="s">
        <v>27</v>
      </c>
      <c r="C944" s="42"/>
      <c r="D944" s="42"/>
      <c r="E944" s="42"/>
      <c r="F944" s="42">
        <f t="shared" si="421"/>
        <v>0</v>
      </c>
      <c r="G944" s="42"/>
      <c r="H944" s="63">
        <v>16409.580000000002</v>
      </c>
      <c r="I944" s="63">
        <v>2.0310000000000001</v>
      </c>
      <c r="J944" s="42">
        <f t="shared" si="419"/>
        <v>33327.856980000004</v>
      </c>
      <c r="K944" s="42">
        <f t="shared" si="420"/>
        <v>0</v>
      </c>
      <c r="L944" s="42"/>
      <c r="M944" s="42"/>
      <c r="N944" s="42"/>
      <c r="O944" s="42"/>
      <c r="P944" s="42">
        <f t="shared" si="416"/>
        <v>33327.856980000004</v>
      </c>
      <c r="Q944" s="58"/>
      <c r="R944" s="42">
        <f t="shared" si="417"/>
        <v>0</v>
      </c>
      <c r="S944" s="42"/>
      <c r="T944" s="168"/>
    </row>
    <row r="945" spans="1:23" hidden="1" x14ac:dyDescent="0.25">
      <c r="A945" s="61"/>
      <c r="B945" s="51" t="s">
        <v>28</v>
      </c>
      <c r="C945" s="42"/>
      <c r="D945" s="42"/>
      <c r="E945" s="42"/>
      <c r="F945" s="42">
        <f t="shared" si="421"/>
        <v>0</v>
      </c>
      <c r="G945" s="42"/>
      <c r="H945" s="63">
        <v>16409.580000000002</v>
      </c>
      <c r="I945" s="63">
        <v>2.0310000000000001</v>
      </c>
      <c r="J945" s="42">
        <f t="shared" si="419"/>
        <v>33327.856980000004</v>
      </c>
      <c r="K945" s="42">
        <f t="shared" si="420"/>
        <v>0</v>
      </c>
      <c r="L945" s="42"/>
      <c r="M945" s="42"/>
      <c r="N945" s="42"/>
      <c r="O945" s="42"/>
      <c r="P945" s="42">
        <f t="shared" si="416"/>
        <v>33327.856980000004</v>
      </c>
      <c r="Q945" s="58"/>
      <c r="R945" s="42">
        <f t="shared" si="417"/>
        <v>0</v>
      </c>
      <c r="S945" s="42"/>
      <c r="T945" s="168"/>
    </row>
    <row r="946" spans="1:23" hidden="1" x14ac:dyDescent="0.25">
      <c r="A946" s="61"/>
      <c r="B946" s="51" t="s">
        <v>29</v>
      </c>
      <c r="C946" s="42"/>
      <c r="D946" s="42"/>
      <c r="E946" s="42"/>
      <c r="F946" s="42">
        <f t="shared" si="421"/>
        <v>0</v>
      </c>
      <c r="G946" s="42"/>
      <c r="H946" s="63">
        <v>16409.580000000002</v>
      </c>
      <c r="I946" s="63">
        <v>2.0310000000000001</v>
      </c>
      <c r="J946" s="42">
        <f t="shared" si="419"/>
        <v>33327.856980000004</v>
      </c>
      <c r="K946" s="42">
        <f t="shared" si="420"/>
        <v>0</v>
      </c>
      <c r="L946" s="42"/>
      <c r="M946" s="42"/>
      <c r="N946" s="42"/>
      <c r="O946" s="42"/>
      <c r="P946" s="42">
        <f t="shared" si="416"/>
        <v>33327.856980000004</v>
      </c>
      <c r="Q946" s="58"/>
      <c r="R946" s="42">
        <f t="shared" si="417"/>
        <v>0</v>
      </c>
      <c r="S946" s="42"/>
      <c r="T946" s="168"/>
    </row>
    <row r="947" spans="1:23" ht="39" hidden="1" x14ac:dyDescent="0.25">
      <c r="A947" s="61" t="s">
        <v>64</v>
      </c>
      <c r="B947" s="51" t="s">
        <v>30</v>
      </c>
      <c r="C947" s="42"/>
      <c r="D947" s="42"/>
      <c r="E947" s="42"/>
      <c r="F947" s="42">
        <f t="shared" si="421"/>
        <v>0</v>
      </c>
      <c r="G947" s="42"/>
      <c r="H947" s="63">
        <v>16409.580000000002</v>
      </c>
      <c r="I947" s="63">
        <v>2.0310000000000001</v>
      </c>
      <c r="J947" s="42">
        <f t="shared" si="419"/>
        <v>33327.856980000004</v>
      </c>
      <c r="K947" s="42">
        <f t="shared" si="420"/>
        <v>0</v>
      </c>
      <c r="L947" s="42"/>
      <c r="M947" s="42"/>
      <c r="N947" s="42"/>
      <c r="O947" s="42"/>
      <c r="P947" s="42">
        <f t="shared" si="416"/>
        <v>33327.856980000004</v>
      </c>
      <c r="Q947" s="58"/>
      <c r="R947" s="42">
        <f t="shared" si="417"/>
        <v>0</v>
      </c>
      <c r="S947" s="42"/>
      <c r="T947" s="168"/>
    </row>
    <row r="948" spans="1:23" hidden="1" x14ac:dyDescent="0.25">
      <c r="A948" s="61"/>
      <c r="B948" s="51" t="s">
        <v>27</v>
      </c>
      <c r="C948" s="42"/>
      <c r="D948" s="42"/>
      <c r="E948" s="42"/>
      <c r="F948" s="42">
        <f t="shared" si="421"/>
        <v>0</v>
      </c>
      <c r="G948" s="42"/>
      <c r="H948" s="63">
        <v>16409.580000000002</v>
      </c>
      <c r="I948" s="63">
        <v>2.0310000000000001</v>
      </c>
      <c r="J948" s="42">
        <f t="shared" si="419"/>
        <v>33327.856980000004</v>
      </c>
      <c r="K948" s="42">
        <f t="shared" si="420"/>
        <v>0</v>
      </c>
      <c r="L948" s="42"/>
      <c r="M948" s="42"/>
      <c r="N948" s="42"/>
      <c r="O948" s="42"/>
      <c r="P948" s="42">
        <f t="shared" si="416"/>
        <v>33327.856980000004</v>
      </c>
      <c r="Q948" s="58"/>
      <c r="R948" s="42">
        <f t="shared" si="417"/>
        <v>0</v>
      </c>
      <c r="S948" s="42"/>
      <c r="T948" s="168"/>
    </row>
    <row r="949" spans="1:23" hidden="1" x14ac:dyDescent="0.25">
      <c r="A949" s="61"/>
      <c r="B949" s="51" t="s">
        <v>28</v>
      </c>
      <c r="C949" s="42"/>
      <c r="D949" s="42"/>
      <c r="E949" s="42"/>
      <c r="F949" s="42">
        <f t="shared" si="421"/>
        <v>0</v>
      </c>
      <c r="G949" s="42"/>
      <c r="H949" s="63">
        <v>16409.580000000002</v>
      </c>
      <c r="I949" s="63">
        <v>2.0310000000000001</v>
      </c>
      <c r="J949" s="42">
        <f t="shared" si="419"/>
        <v>33327.856980000004</v>
      </c>
      <c r="K949" s="42">
        <f t="shared" si="420"/>
        <v>0</v>
      </c>
      <c r="L949" s="42"/>
      <c r="M949" s="42"/>
      <c r="N949" s="42"/>
      <c r="O949" s="42"/>
      <c r="P949" s="42">
        <f t="shared" si="416"/>
        <v>33327.856980000004</v>
      </c>
      <c r="Q949" s="58"/>
      <c r="R949" s="42">
        <f t="shared" si="417"/>
        <v>0</v>
      </c>
      <c r="S949" s="42"/>
      <c r="T949" s="168"/>
    </row>
    <row r="950" spans="1:23" hidden="1" x14ac:dyDescent="0.25">
      <c r="A950" s="61"/>
      <c r="B950" s="51" t="s">
        <v>29</v>
      </c>
      <c r="C950" s="42"/>
      <c r="D950" s="42"/>
      <c r="E950" s="42"/>
      <c r="F950" s="42">
        <f t="shared" si="421"/>
        <v>0</v>
      </c>
      <c r="G950" s="42"/>
      <c r="H950" s="63">
        <v>16409.580000000002</v>
      </c>
      <c r="I950" s="63">
        <v>2.0310000000000001</v>
      </c>
      <c r="J950" s="42">
        <f t="shared" si="419"/>
        <v>33327.856980000004</v>
      </c>
      <c r="K950" s="42">
        <f t="shared" si="420"/>
        <v>0</v>
      </c>
      <c r="L950" s="42"/>
      <c r="M950" s="42"/>
      <c r="N950" s="42"/>
      <c r="O950" s="42"/>
      <c r="P950" s="42">
        <f t="shared" si="416"/>
        <v>33327.856980000004</v>
      </c>
      <c r="Q950" s="58"/>
      <c r="R950" s="42">
        <f t="shared" si="417"/>
        <v>0</v>
      </c>
      <c r="S950" s="42"/>
      <c r="T950" s="168"/>
    </row>
    <row r="951" spans="1:23" ht="39" hidden="1" x14ac:dyDescent="0.25">
      <c r="A951" s="61"/>
      <c r="B951" s="51" t="s">
        <v>9</v>
      </c>
      <c r="C951" s="42"/>
      <c r="D951" s="42"/>
      <c r="E951" s="42"/>
      <c r="F951" s="42">
        <f t="shared" si="421"/>
        <v>0</v>
      </c>
      <c r="G951" s="42"/>
      <c r="H951" s="63">
        <v>16409.580000000002</v>
      </c>
      <c r="I951" s="63">
        <v>2.0310000000000001</v>
      </c>
      <c r="J951" s="42">
        <f t="shared" si="419"/>
        <v>33327.856980000004</v>
      </c>
      <c r="K951" s="42">
        <f t="shared" si="420"/>
        <v>0</v>
      </c>
      <c r="L951" s="42"/>
      <c r="M951" s="42"/>
      <c r="N951" s="42"/>
      <c r="O951" s="42"/>
      <c r="P951" s="42">
        <f t="shared" si="416"/>
        <v>33327.856980000004</v>
      </c>
      <c r="Q951" s="58"/>
      <c r="R951" s="42">
        <f t="shared" si="417"/>
        <v>0</v>
      </c>
      <c r="S951" s="42"/>
      <c r="T951" s="168"/>
    </row>
    <row r="952" spans="1:23" ht="39" hidden="1" x14ac:dyDescent="0.25">
      <c r="A952" s="61"/>
      <c r="B952" s="51" t="s">
        <v>11</v>
      </c>
      <c r="C952" s="42"/>
      <c r="D952" s="42"/>
      <c r="E952" s="42"/>
      <c r="F952" s="42">
        <f t="shared" si="421"/>
        <v>0</v>
      </c>
      <c r="G952" s="42"/>
      <c r="H952" s="63">
        <v>16409.580000000002</v>
      </c>
      <c r="I952" s="63">
        <v>2.0310000000000001</v>
      </c>
      <c r="J952" s="42">
        <f t="shared" si="419"/>
        <v>33327.856980000004</v>
      </c>
      <c r="K952" s="42">
        <f t="shared" si="420"/>
        <v>0</v>
      </c>
      <c r="L952" s="42"/>
      <c r="M952" s="42"/>
      <c r="N952" s="42"/>
      <c r="O952" s="42"/>
      <c r="P952" s="42">
        <f t="shared" si="416"/>
        <v>33327.856980000004</v>
      </c>
      <c r="Q952" s="58"/>
      <c r="R952" s="42">
        <f t="shared" si="417"/>
        <v>0</v>
      </c>
      <c r="S952" s="42"/>
      <c r="T952" s="168"/>
    </row>
    <row r="953" spans="1:23" hidden="1" x14ac:dyDescent="0.25">
      <c r="A953" s="61"/>
      <c r="B953" s="51" t="s">
        <v>13</v>
      </c>
      <c r="C953" s="42"/>
      <c r="D953" s="42"/>
      <c r="E953" s="42"/>
      <c r="F953" s="42">
        <f t="shared" si="421"/>
        <v>0</v>
      </c>
      <c r="G953" s="42"/>
      <c r="H953" s="63">
        <v>16409.580000000002</v>
      </c>
      <c r="I953" s="63">
        <v>2.0310000000000001</v>
      </c>
      <c r="J953" s="42">
        <f t="shared" si="419"/>
        <v>33327.856980000004</v>
      </c>
      <c r="K953" s="42">
        <f t="shared" si="420"/>
        <v>0</v>
      </c>
      <c r="L953" s="42"/>
      <c r="M953" s="42"/>
      <c r="N953" s="42"/>
      <c r="O953" s="42"/>
      <c r="P953" s="42">
        <f t="shared" si="416"/>
        <v>33327.856980000004</v>
      </c>
      <c r="Q953" s="58"/>
      <c r="R953" s="42">
        <f t="shared" si="417"/>
        <v>0</v>
      </c>
      <c r="S953" s="42"/>
      <c r="T953" s="168"/>
    </row>
    <row r="954" spans="1:23" hidden="1" x14ac:dyDescent="0.25">
      <c r="A954" s="61"/>
      <c r="B954" s="61" t="s">
        <v>14</v>
      </c>
      <c r="C954" s="42"/>
      <c r="D954" s="42"/>
      <c r="E954" s="42"/>
      <c r="F954" s="42">
        <f t="shared" si="421"/>
        <v>0</v>
      </c>
      <c r="G954" s="42"/>
      <c r="H954" s="63">
        <v>16409.580000000002</v>
      </c>
      <c r="I954" s="63">
        <v>2.0310000000000001</v>
      </c>
      <c r="J954" s="42">
        <f t="shared" si="419"/>
        <v>33327.856980000004</v>
      </c>
      <c r="K954" s="42">
        <f t="shared" si="420"/>
        <v>0</v>
      </c>
      <c r="L954" s="42"/>
      <c r="M954" s="42"/>
      <c r="N954" s="42"/>
      <c r="O954" s="42"/>
      <c r="P954" s="42">
        <f t="shared" si="416"/>
        <v>33327.856980000004</v>
      </c>
      <c r="Q954" s="58"/>
      <c r="R954" s="42">
        <f t="shared" si="417"/>
        <v>0</v>
      </c>
      <c r="S954" s="42"/>
      <c r="T954" s="168"/>
    </row>
    <row r="955" spans="1:23" hidden="1" x14ac:dyDescent="0.25">
      <c r="A955" s="61"/>
      <c r="B955" s="61" t="s">
        <v>17</v>
      </c>
      <c r="C955" s="42"/>
      <c r="D955" s="42"/>
      <c r="E955" s="42"/>
      <c r="F955" s="42">
        <f t="shared" si="421"/>
        <v>0</v>
      </c>
      <c r="G955" s="42"/>
      <c r="H955" s="63">
        <v>16409.580000000002</v>
      </c>
      <c r="I955" s="63">
        <v>2.0310000000000001</v>
      </c>
      <c r="J955" s="42">
        <f t="shared" si="419"/>
        <v>33327.856980000004</v>
      </c>
      <c r="K955" s="42">
        <f t="shared" si="420"/>
        <v>0</v>
      </c>
      <c r="L955" s="42"/>
      <c r="M955" s="42"/>
      <c r="N955" s="42"/>
      <c r="O955" s="42"/>
      <c r="P955" s="42">
        <f t="shared" si="416"/>
        <v>33327.856980000004</v>
      </c>
      <c r="Q955" s="58"/>
      <c r="R955" s="42">
        <f t="shared" si="417"/>
        <v>0</v>
      </c>
      <c r="S955" s="42"/>
      <c r="T955" s="168"/>
    </row>
    <row r="956" spans="1:23" hidden="1" x14ac:dyDescent="0.25">
      <c r="A956" s="61"/>
      <c r="B956" s="61" t="s">
        <v>14</v>
      </c>
      <c r="C956" s="42"/>
      <c r="D956" s="42"/>
      <c r="E956" s="42"/>
      <c r="F956" s="42">
        <f t="shared" si="421"/>
        <v>0</v>
      </c>
      <c r="G956" s="42"/>
      <c r="H956" s="63">
        <v>16409.580000000002</v>
      </c>
      <c r="I956" s="63">
        <v>2.0310000000000001</v>
      </c>
      <c r="J956" s="42">
        <f t="shared" si="419"/>
        <v>33327.856980000004</v>
      </c>
      <c r="K956" s="42">
        <f t="shared" si="420"/>
        <v>0</v>
      </c>
      <c r="L956" s="42"/>
      <c r="M956" s="42"/>
      <c r="N956" s="42"/>
      <c r="O956" s="42"/>
      <c r="P956" s="42">
        <f t="shared" si="416"/>
        <v>33327.856980000004</v>
      </c>
      <c r="Q956" s="58"/>
      <c r="R956" s="42">
        <f t="shared" si="417"/>
        <v>0</v>
      </c>
      <c r="S956" s="42"/>
      <c r="T956" s="168"/>
    </row>
    <row r="957" spans="1:23" x14ac:dyDescent="0.25">
      <c r="A957" s="65"/>
      <c r="B957" s="51" t="s">
        <v>13</v>
      </c>
      <c r="C957" s="42">
        <v>56</v>
      </c>
      <c r="D957" s="42"/>
      <c r="E957" s="42"/>
      <c r="F957" s="42"/>
      <c r="G957" s="42"/>
      <c r="H957" s="42"/>
      <c r="I957" s="42"/>
      <c r="J957" s="42"/>
      <c r="K957" s="42"/>
      <c r="L957" s="63">
        <v>4769.12</v>
      </c>
      <c r="M957" s="63">
        <v>1.38</v>
      </c>
      <c r="N957" s="42">
        <f t="shared" ref="N957" si="422">L957*M957</f>
        <v>6581.3855999999996</v>
      </c>
      <c r="O957" s="42">
        <f t="shared" ref="O957" si="423">ROUND(C957*N957,0)</f>
        <v>368558</v>
      </c>
      <c r="P957" s="42">
        <f t="shared" si="416"/>
        <v>6581.3855999999996</v>
      </c>
      <c r="Q957" s="58"/>
      <c r="R957" s="42">
        <f t="shared" si="417"/>
        <v>368558</v>
      </c>
      <c r="S957" s="42"/>
      <c r="T957" s="168"/>
    </row>
    <row r="958" spans="1:23" s="60" customFormat="1" hidden="1" x14ac:dyDescent="0.25">
      <c r="A958" s="56"/>
      <c r="B958" s="51" t="s">
        <v>27</v>
      </c>
      <c r="C958" s="58"/>
      <c r="D958" s="58"/>
      <c r="E958" s="58"/>
      <c r="F958" s="42"/>
      <c r="G958" s="58"/>
      <c r="H958" s="58"/>
      <c r="I958" s="58"/>
      <c r="J958" s="58"/>
      <c r="K958" s="42"/>
      <c r="L958" s="58"/>
      <c r="M958" s="42"/>
      <c r="N958" s="58"/>
      <c r="O958" s="42"/>
      <c r="P958" s="42"/>
      <c r="Q958" s="58"/>
      <c r="R958" s="42"/>
      <c r="S958" s="58"/>
      <c r="T958" s="168"/>
      <c r="U958" s="68"/>
      <c r="V958" s="66"/>
      <c r="W958" s="66"/>
    </row>
    <row r="959" spans="1:23" hidden="1" x14ac:dyDescent="0.25">
      <c r="A959" s="61"/>
      <c r="B959" s="51" t="s">
        <v>28</v>
      </c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58"/>
      <c r="R959" s="42"/>
      <c r="S959" s="42"/>
      <c r="T959" s="168"/>
    </row>
    <row r="960" spans="1:23" hidden="1" x14ac:dyDescent="0.25">
      <c r="A960" s="61"/>
      <c r="B960" s="51" t="s">
        <v>29</v>
      </c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58"/>
      <c r="R960" s="42"/>
      <c r="S960" s="42"/>
      <c r="T960" s="168"/>
    </row>
    <row r="961" spans="1:23" s="60" customFormat="1" x14ac:dyDescent="0.25">
      <c r="A961" s="104"/>
      <c r="B961" s="100" t="s">
        <v>82</v>
      </c>
      <c r="C961" s="105">
        <f>C859+C860+C936+C937+C938</f>
        <v>56</v>
      </c>
      <c r="D961" s="105"/>
      <c r="E961" s="105">
        <f>E859+E860+E936+E937+E938+E957</f>
        <v>2903000</v>
      </c>
      <c r="F961" s="105"/>
      <c r="G961" s="105">
        <f>G859+G860+G936+G937+G938+G957</f>
        <v>1017000</v>
      </c>
      <c r="H961" s="105"/>
      <c r="I961" s="105"/>
      <c r="J961" s="105"/>
      <c r="K961" s="105">
        <f>K859+K860+K936+K937+K938+K957</f>
        <v>2129442</v>
      </c>
      <c r="L961" s="105"/>
      <c r="M961" s="105"/>
      <c r="N961" s="105"/>
      <c r="O961" s="105">
        <f>O859+O860+O936+O937+O938+O957</f>
        <v>368558</v>
      </c>
      <c r="P961" s="75"/>
      <c r="Q961" s="75"/>
      <c r="R961" s="105">
        <f>R859+R860+R936+R937+R938+R957</f>
        <v>6418000</v>
      </c>
      <c r="S961" s="105">
        <v>26000</v>
      </c>
      <c r="T961" s="101">
        <f>R961+S961</f>
        <v>6444000</v>
      </c>
      <c r="U961" s="102"/>
      <c r="V961" s="180"/>
      <c r="W961" s="66"/>
    </row>
    <row r="962" spans="1:23" s="60" customFormat="1" x14ac:dyDescent="0.25">
      <c r="A962" s="56">
        <v>26</v>
      </c>
      <c r="B962" s="8" t="s">
        <v>83</v>
      </c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42"/>
      <c r="Q962" s="58"/>
      <c r="R962" s="58"/>
      <c r="S962" s="58"/>
      <c r="T962" s="168"/>
      <c r="U962" s="68"/>
      <c r="V962" s="66"/>
      <c r="W962" s="66"/>
    </row>
    <row r="963" spans="1:23" ht="39" hidden="1" x14ac:dyDescent="0.25">
      <c r="A963" s="61" t="s">
        <v>15</v>
      </c>
      <c r="B963" s="51" t="s">
        <v>54</v>
      </c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58"/>
      <c r="R963" s="42"/>
      <c r="S963" s="42"/>
      <c r="T963" s="169"/>
    </row>
    <row r="964" spans="1:23" hidden="1" x14ac:dyDescent="0.25">
      <c r="A964" s="61"/>
      <c r="B964" s="51" t="s">
        <v>27</v>
      </c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58"/>
      <c r="R964" s="42"/>
      <c r="S964" s="42"/>
      <c r="T964" s="169"/>
    </row>
    <row r="965" spans="1:23" hidden="1" x14ac:dyDescent="0.25">
      <c r="A965" s="61"/>
      <c r="B965" s="51" t="s">
        <v>28</v>
      </c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58"/>
      <c r="R965" s="42"/>
      <c r="S965" s="42"/>
      <c r="T965" s="169"/>
    </row>
    <row r="966" spans="1:23" hidden="1" x14ac:dyDescent="0.25">
      <c r="A966" s="61"/>
      <c r="B966" s="51" t="s">
        <v>29</v>
      </c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58"/>
      <c r="R966" s="42"/>
      <c r="S966" s="42"/>
      <c r="T966" s="169"/>
    </row>
    <row r="967" spans="1:23" ht="39" hidden="1" x14ac:dyDescent="0.25">
      <c r="A967" s="61" t="s">
        <v>59</v>
      </c>
      <c r="B967" s="51" t="s">
        <v>68</v>
      </c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58"/>
      <c r="R967" s="42"/>
      <c r="S967" s="42"/>
      <c r="T967" s="169"/>
    </row>
    <row r="968" spans="1:23" hidden="1" x14ac:dyDescent="0.25">
      <c r="A968" s="61"/>
      <c r="B968" s="51" t="s">
        <v>27</v>
      </c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58"/>
      <c r="R968" s="42"/>
      <c r="S968" s="42"/>
      <c r="T968" s="169"/>
    </row>
    <row r="969" spans="1:23" hidden="1" x14ac:dyDescent="0.25">
      <c r="A969" s="61"/>
      <c r="B969" s="51" t="s">
        <v>28</v>
      </c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58"/>
      <c r="R969" s="42"/>
      <c r="S969" s="42"/>
      <c r="T969" s="169"/>
    </row>
    <row r="970" spans="1:23" hidden="1" x14ac:dyDescent="0.25">
      <c r="A970" s="61"/>
      <c r="B970" s="51" t="s">
        <v>29</v>
      </c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58"/>
      <c r="R970" s="42"/>
      <c r="S970" s="42"/>
      <c r="T970" s="169"/>
    </row>
    <row r="971" spans="1:23" ht="39" hidden="1" x14ac:dyDescent="0.25">
      <c r="A971" s="61" t="s">
        <v>60</v>
      </c>
      <c r="B971" s="51" t="s">
        <v>55</v>
      </c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58"/>
      <c r="R971" s="42"/>
      <c r="S971" s="42"/>
      <c r="T971" s="169"/>
    </row>
    <row r="972" spans="1:23" hidden="1" x14ac:dyDescent="0.25">
      <c r="A972" s="61"/>
      <c r="B972" s="51" t="s">
        <v>27</v>
      </c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58"/>
      <c r="R972" s="42"/>
      <c r="S972" s="42"/>
      <c r="T972" s="169"/>
    </row>
    <row r="973" spans="1:23" hidden="1" x14ac:dyDescent="0.25">
      <c r="A973" s="61"/>
      <c r="B973" s="51" t="s">
        <v>28</v>
      </c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58"/>
      <c r="R973" s="42"/>
      <c r="S973" s="42"/>
      <c r="T973" s="169"/>
    </row>
    <row r="974" spans="1:23" hidden="1" x14ac:dyDescent="0.25">
      <c r="A974" s="61"/>
      <c r="B974" s="51" t="s">
        <v>29</v>
      </c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58"/>
      <c r="R974" s="42"/>
      <c r="S974" s="42"/>
      <c r="T974" s="169"/>
    </row>
    <row r="975" spans="1:23" ht="39" hidden="1" x14ac:dyDescent="0.25">
      <c r="A975" s="61" t="s">
        <v>61</v>
      </c>
      <c r="B975" s="51" t="s">
        <v>56</v>
      </c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58"/>
      <c r="R975" s="42"/>
      <c r="S975" s="42"/>
      <c r="T975" s="169"/>
    </row>
    <row r="976" spans="1:23" hidden="1" x14ac:dyDescent="0.25">
      <c r="A976" s="61"/>
      <c r="B976" s="51" t="s">
        <v>27</v>
      </c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58"/>
      <c r="R976" s="42"/>
      <c r="S976" s="42"/>
      <c r="T976" s="169"/>
    </row>
    <row r="977" spans="1:20" hidden="1" x14ac:dyDescent="0.25">
      <c r="A977" s="61"/>
      <c r="B977" s="51" t="s">
        <v>28</v>
      </c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58"/>
      <c r="R977" s="42"/>
      <c r="S977" s="42"/>
      <c r="T977" s="169"/>
    </row>
    <row r="978" spans="1:20" hidden="1" x14ac:dyDescent="0.25">
      <c r="A978" s="61"/>
      <c r="B978" s="51" t="s">
        <v>29</v>
      </c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58"/>
      <c r="R978" s="42"/>
      <c r="S978" s="42"/>
      <c r="T978" s="169"/>
    </row>
    <row r="979" spans="1:20" ht="51.75" hidden="1" x14ac:dyDescent="0.25">
      <c r="A979" s="61" t="s">
        <v>62</v>
      </c>
      <c r="B979" s="51" t="s">
        <v>57</v>
      </c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58"/>
      <c r="R979" s="42"/>
      <c r="S979" s="42"/>
      <c r="T979" s="169"/>
    </row>
    <row r="980" spans="1:20" hidden="1" x14ac:dyDescent="0.25">
      <c r="A980" s="61"/>
      <c r="B980" s="51" t="s">
        <v>27</v>
      </c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58"/>
      <c r="R980" s="42"/>
      <c r="S980" s="42"/>
      <c r="T980" s="169"/>
    </row>
    <row r="981" spans="1:20" hidden="1" x14ac:dyDescent="0.25">
      <c r="A981" s="61"/>
      <c r="B981" s="51" t="s">
        <v>28</v>
      </c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58"/>
      <c r="R981" s="42"/>
      <c r="S981" s="42"/>
      <c r="T981" s="169"/>
    </row>
    <row r="982" spans="1:20" hidden="1" x14ac:dyDescent="0.25">
      <c r="A982" s="61"/>
      <c r="B982" s="51" t="s">
        <v>29</v>
      </c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58"/>
      <c r="R982" s="42"/>
      <c r="S982" s="42"/>
      <c r="T982" s="169"/>
    </row>
    <row r="983" spans="1:20" ht="51.75" x14ac:dyDescent="0.25">
      <c r="A983" s="61" t="s">
        <v>248</v>
      </c>
      <c r="B983" s="51" t="s">
        <v>58</v>
      </c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58"/>
      <c r="R983" s="42"/>
      <c r="S983" s="42"/>
      <c r="T983" s="168"/>
    </row>
    <row r="984" spans="1:20" hidden="1" x14ac:dyDescent="0.25">
      <c r="A984" s="61"/>
      <c r="B984" s="51" t="s">
        <v>27</v>
      </c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58"/>
      <c r="R984" s="42"/>
      <c r="S984" s="42"/>
      <c r="T984" s="168"/>
    </row>
    <row r="985" spans="1:20" x14ac:dyDescent="0.25">
      <c r="A985" s="61"/>
      <c r="B985" s="51" t="s">
        <v>28</v>
      </c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58"/>
      <c r="R985" s="42"/>
      <c r="S985" s="42"/>
      <c r="T985" s="168"/>
    </row>
    <row r="986" spans="1:20" x14ac:dyDescent="0.25">
      <c r="A986" s="61"/>
      <c r="B986" s="51" t="s">
        <v>289</v>
      </c>
      <c r="C986" s="42">
        <v>9</v>
      </c>
      <c r="D986" s="42">
        <v>16940</v>
      </c>
      <c r="E986" s="42">
        <f>C986*D986+22540</f>
        <v>175000</v>
      </c>
      <c r="F986" s="42">
        <f t="shared" ref="F986" si="424">ROUND(D986*35.045%,0)</f>
        <v>5937</v>
      </c>
      <c r="G986" s="42">
        <f>C986*F986+7567</f>
        <v>61000</v>
      </c>
      <c r="H986" s="63">
        <v>17881.599999999999</v>
      </c>
      <c r="I986" s="63">
        <v>0.11799999999999999</v>
      </c>
      <c r="J986" s="42">
        <f t="shared" ref="J986" si="425">H986*I986</f>
        <v>2110.0287999999996</v>
      </c>
      <c r="K986" s="42">
        <f t="shared" ref="K986" si="426">ROUND(C986*J986,0)</f>
        <v>18990</v>
      </c>
      <c r="L986" s="42"/>
      <c r="M986" s="42"/>
      <c r="N986" s="42"/>
      <c r="O986" s="42"/>
      <c r="P986" s="42">
        <f t="shared" ref="P986:P1039" si="427">D986+F986+J986+N986</f>
        <v>24987.0288</v>
      </c>
      <c r="Q986" s="58"/>
      <c r="R986" s="42">
        <f t="shared" ref="R986:R1039" si="428">E986+G986+K986+O986</f>
        <v>254990</v>
      </c>
      <c r="S986" s="42"/>
      <c r="T986" s="168"/>
    </row>
    <row r="987" spans="1:20" ht="39" hidden="1" x14ac:dyDescent="0.25">
      <c r="A987" s="61" t="s">
        <v>64</v>
      </c>
      <c r="B987" s="51" t="s">
        <v>30</v>
      </c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>
        <f t="shared" si="427"/>
        <v>0</v>
      </c>
      <c r="Q987" s="58"/>
      <c r="R987" s="42">
        <f t="shared" si="428"/>
        <v>0</v>
      </c>
      <c r="S987" s="42"/>
      <c r="T987" s="168"/>
    </row>
    <row r="988" spans="1:20" hidden="1" x14ac:dyDescent="0.25">
      <c r="A988" s="61"/>
      <c r="B988" s="51" t="s">
        <v>27</v>
      </c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>
        <f t="shared" si="427"/>
        <v>0</v>
      </c>
      <c r="Q988" s="58"/>
      <c r="R988" s="42">
        <f t="shared" si="428"/>
        <v>0</v>
      </c>
      <c r="S988" s="42"/>
      <c r="T988" s="168"/>
    </row>
    <row r="989" spans="1:20" hidden="1" x14ac:dyDescent="0.25">
      <c r="A989" s="61"/>
      <c r="B989" s="51" t="s">
        <v>28</v>
      </c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>
        <f t="shared" si="427"/>
        <v>0</v>
      </c>
      <c r="Q989" s="58"/>
      <c r="R989" s="42">
        <f t="shared" si="428"/>
        <v>0</v>
      </c>
      <c r="S989" s="42"/>
      <c r="T989" s="168"/>
    </row>
    <row r="990" spans="1:20" hidden="1" x14ac:dyDescent="0.25">
      <c r="A990" s="61"/>
      <c r="B990" s="51" t="s">
        <v>29</v>
      </c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>
        <f t="shared" si="427"/>
        <v>0</v>
      </c>
      <c r="Q990" s="58"/>
      <c r="R990" s="42">
        <f t="shared" si="428"/>
        <v>0</v>
      </c>
      <c r="S990" s="42"/>
      <c r="T990" s="168"/>
    </row>
    <row r="991" spans="1:20" ht="39" hidden="1" x14ac:dyDescent="0.25">
      <c r="A991" s="61"/>
      <c r="B991" s="51" t="s">
        <v>9</v>
      </c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>
        <f t="shared" si="427"/>
        <v>0</v>
      </c>
      <c r="Q991" s="58"/>
      <c r="R991" s="42">
        <f t="shared" si="428"/>
        <v>0</v>
      </c>
      <c r="S991" s="42"/>
      <c r="T991" s="168"/>
    </row>
    <row r="992" spans="1:20" ht="39" hidden="1" x14ac:dyDescent="0.25">
      <c r="A992" s="61"/>
      <c r="B992" s="51" t="s">
        <v>11</v>
      </c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>
        <f t="shared" si="427"/>
        <v>0</v>
      </c>
      <c r="Q992" s="58"/>
      <c r="R992" s="42">
        <f t="shared" si="428"/>
        <v>0</v>
      </c>
      <c r="S992" s="42"/>
      <c r="T992" s="168"/>
    </row>
    <row r="993" spans="1:23" hidden="1" x14ac:dyDescent="0.25">
      <c r="A993" s="61"/>
      <c r="B993" s="51" t="s">
        <v>13</v>
      </c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>
        <f t="shared" si="427"/>
        <v>0</v>
      </c>
      <c r="Q993" s="58"/>
      <c r="R993" s="42">
        <f t="shared" si="428"/>
        <v>0</v>
      </c>
      <c r="S993" s="42"/>
      <c r="T993" s="168"/>
    </row>
    <row r="994" spans="1:23" hidden="1" x14ac:dyDescent="0.25">
      <c r="A994" s="61"/>
      <c r="B994" s="61" t="s">
        <v>14</v>
      </c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>
        <f t="shared" si="427"/>
        <v>0</v>
      </c>
      <c r="Q994" s="58"/>
      <c r="R994" s="42">
        <f t="shared" si="428"/>
        <v>0</v>
      </c>
      <c r="S994" s="42"/>
      <c r="T994" s="168"/>
    </row>
    <row r="995" spans="1:23" hidden="1" x14ac:dyDescent="0.25">
      <c r="A995" s="61"/>
      <c r="B995" s="61" t="s">
        <v>17</v>
      </c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>
        <f t="shared" si="427"/>
        <v>0</v>
      </c>
      <c r="Q995" s="58"/>
      <c r="R995" s="42">
        <f t="shared" si="428"/>
        <v>0</v>
      </c>
      <c r="S995" s="42"/>
      <c r="T995" s="168"/>
    </row>
    <row r="996" spans="1:23" hidden="1" x14ac:dyDescent="0.25">
      <c r="A996" s="61"/>
      <c r="B996" s="61" t="s">
        <v>14</v>
      </c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>
        <f t="shared" si="427"/>
        <v>0</v>
      </c>
      <c r="Q996" s="58"/>
      <c r="R996" s="42">
        <f t="shared" si="428"/>
        <v>0</v>
      </c>
      <c r="S996" s="42"/>
      <c r="T996" s="168"/>
    </row>
    <row r="997" spans="1:23" x14ac:dyDescent="0.25">
      <c r="A997" s="65"/>
      <c r="B997" s="51" t="s">
        <v>13</v>
      </c>
      <c r="C997" s="42">
        <v>9</v>
      </c>
      <c r="D997" s="42"/>
      <c r="E997" s="42"/>
      <c r="F997" s="42"/>
      <c r="G997" s="42"/>
      <c r="H997" s="42"/>
      <c r="I997" s="42"/>
      <c r="J997" s="42"/>
      <c r="K997" s="42"/>
      <c r="L997" s="63">
        <v>4769.12</v>
      </c>
      <c r="M997" s="63">
        <v>0.16</v>
      </c>
      <c r="N997" s="42">
        <f t="shared" ref="N997" si="429">L997*M997</f>
        <v>763.05920000000003</v>
      </c>
      <c r="O997" s="42">
        <f>ROUND(C997*N997,0)+2142</f>
        <v>9010</v>
      </c>
      <c r="P997" s="42">
        <f t="shared" si="427"/>
        <v>763.05920000000003</v>
      </c>
      <c r="Q997" s="58"/>
      <c r="R997" s="42">
        <f t="shared" si="428"/>
        <v>9010</v>
      </c>
      <c r="S997" s="42"/>
      <c r="T997" s="168"/>
    </row>
    <row r="998" spans="1:23" s="60" customFormat="1" hidden="1" x14ac:dyDescent="0.25">
      <c r="A998" s="56"/>
      <c r="B998" s="51" t="s">
        <v>27</v>
      </c>
      <c r="C998" s="58"/>
      <c r="D998" s="58"/>
      <c r="E998" s="58"/>
      <c r="F998" s="42"/>
      <c r="G998" s="58"/>
      <c r="H998" s="58"/>
      <c r="I998" s="58"/>
      <c r="J998" s="58"/>
      <c r="K998" s="42"/>
      <c r="L998" s="58"/>
      <c r="M998" s="42"/>
      <c r="N998" s="58"/>
      <c r="O998" s="42"/>
      <c r="P998" s="42">
        <f t="shared" si="427"/>
        <v>0</v>
      </c>
      <c r="Q998" s="58"/>
      <c r="R998" s="42">
        <f t="shared" si="428"/>
        <v>0</v>
      </c>
      <c r="S998" s="58"/>
      <c r="T998" s="168"/>
      <c r="U998" s="68"/>
      <c r="V998" s="66"/>
      <c r="W998" s="66"/>
    </row>
    <row r="999" spans="1:23" hidden="1" x14ac:dyDescent="0.25">
      <c r="A999" s="61"/>
      <c r="B999" s="51" t="s">
        <v>28</v>
      </c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>
        <f t="shared" si="427"/>
        <v>0</v>
      </c>
      <c r="Q999" s="58"/>
      <c r="R999" s="42">
        <f t="shared" si="428"/>
        <v>0</v>
      </c>
      <c r="S999" s="42"/>
      <c r="T999" s="168"/>
    </row>
    <row r="1000" spans="1:23" hidden="1" x14ac:dyDescent="0.25">
      <c r="A1000" s="61"/>
      <c r="B1000" s="51" t="s">
        <v>29</v>
      </c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>
        <f t="shared" si="427"/>
        <v>0</v>
      </c>
      <c r="Q1000" s="58"/>
      <c r="R1000" s="42">
        <f t="shared" si="428"/>
        <v>0</v>
      </c>
      <c r="S1000" s="42"/>
      <c r="T1000" s="168"/>
    </row>
    <row r="1001" spans="1:23" s="60" customFormat="1" hidden="1" x14ac:dyDescent="0.25">
      <c r="A1001" s="56">
        <v>27</v>
      </c>
      <c r="B1001" s="8" t="s">
        <v>84</v>
      </c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42">
        <f t="shared" si="427"/>
        <v>0</v>
      </c>
      <c r="Q1001" s="58"/>
      <c r="R1001" s="42">
        <f t="shared" si="428"/>
        <v>0</v>
      </c>
      <c r="S1001" s="58"/>
      <c r="T1001" s="168"/>
      <c r="U1001" s="68"/>
      <c r="V1001" s="66"/>
      <c r="W1001" s="66"/>
    </row>
    <row r="1002" spans="1:23" ht="39" hidden="1" x14ac:dyDescent="0.25">
      <c r="A1002" s="61" t="s">
        <v>15</v>
      </c>
      <c r="B1002" s="51" t="s">
        <v>54</v>
      </c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>
        <f t="shared" si="427"/>
        <v>0</v>
      </c>
      <c r="Q1002" s="58"/>
      <c r="R1002" s="42">
        <f t="shared" si="428"/>
        <v>0</v>
      </c>
      <c r="S1002" s="42"/>
      <c r="T1002" s="169"/>
    </row>
    <row r="1003" spans="1:23" hidden="1" x14ac:dyDescent="0.25">
      <c r="A1003" s="61"/>
      <c r="B1003" s="51" t="s">
        <v>27</v>
      </c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>
        <f t="shared" si="427"/>
        <v>0</v>
      </c>
      <c r="Q1003" s="58"/>
      <c r="R1003" s="42">
        <f t="shared" si="428"/>
        <v>0</v>
      </c>
      <c r="S1003" s="42"/>
      <c r="T1003" s="169"/>
    </row>
    <row r="1004" spans="1:23" hidden="1" x14ac:dyDescent="0.25">
      <c r="A1004" s="61"/>
      <c r="B1004" s="51" t="s">
        <v>28</v>
      </c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>
        <f t="shared" si="427"/>
        <v>0</v>
      </c>
      <c r="Q1004" s="58"/>
      <c r="R1004" s="42">
        <f t="shared" si="428"/>
        <v>0</v>
      </c>
      <c r="S1004" s="42"/>
      <c r="T1004" s="169"/>
    </row>
    <row r="1005" spans="1:23" hidden="1" x14ac:dyDescent="0.25">
      <c r="A1005" s="61"/>
      <c r="B1005" s="51" t="s">
        <v>29</v>
      </c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>
        <f t="shared" si="427"/>
        <v>0</v>
      </c>
      <c r="Q1005" s="58"/>
      <c r="R1005" s="42">
        <f t="shared" si="428"/>
        <v>0</v>
      </c>
      <c r="S1005" s="42"/>
      <c r="T1005" s="169"/>
    </row>
    <row r="1006" spans="1:23" ht="39" hidden="1" x14ac:dyDescent="0.25">
      <c r="A1006" s="61" t="s">
        <v>59</v>
      </c>
      <c r="B1006" s="51" t="s">
        <v>68</v>
      </c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>
        <f t="shared" si="427"/>
        <v>0</v>
      </c>
      <c r="Q1006" s="58"/>
      <c r="R1006" s="42">
        <f t="shared" si="428"/>
        <v>0</v>
      </c>
      <c r="S1006" s="42"/>
      <c r="T1006" s="169"/>
    </row>
    <row r="1007" spans="1:23" hidden="1" x14ac:dyDescent="0.25">
      <c r="A1007" s="61"/>
      <c r="B1007" s="51" t="s">
        <v>27</v>
      </c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>
        <f t="shared" si="427"/>
        <v>0</v>
      </c>
      <c r="Q1007" s="58"/>
      <c r="R1007" s="42">
        <f t="shared" si="428"/>
        <v>0</v>
      </c>
      <c r="S1007" s="42"/>
      <c r="T1007" s="169"/>
    </row>
    <row r="1008" spans="1:23" hidden="1" x14ac:dyDescent="0.25">
      <c r="A1008" s="61"/>
      <c r="B1008" s="51" t="s">
        <v>28</v>
      </c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>
        <f t="shared" si="427"/>
        <v>0</v>
      </c>
      <c r="Q1008" s="58"/>
      <c r="R1008" s="42">
        <f t="shared" si="428"/>
        <v>0</v>
      </c>
      <c r="S1008" s="42"/>
      <c r="T1008" s="169"/>
    </row>
    <row r="1009" spans="1:20" hidden="1" x14ac:dyDescent="0.25">
      <c r="A1009" s="61"/>
      <c r="B1009" s="51" t="s">
        <v>29</v>
      </c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>
        <f t="shared" si="427"/>
        <v>0</v>
      </c>
      <c r="Q1009" s="58"/>
      <c r="R1009" s="42">
        <f t="shared" si="428"/>
        <v>0</v>
      </c>
      <c r="S1009" s="42"/>
      <c r="T1009" s="169"/>
    </row>
    <row r="1010" spans="1:20" ht="39" hidden="1" x14ac:dyDescent="0.25">
      <c r="A1010" s="61" t="s">
        <v>60</v>
      </c>
      <c r="B1010" s="51" t="s">
        <v>55</v>
      </c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>
        <f t="shared" si="427"/>
        <v>0</v>
      </c>
      <c r="Q1010" s="58"/>
      <c r="R1010" s="42">
        <f t="shared" si="428"/>
        <v>0</v>
      </c>
      <c r="S1010" s="42"/>
      <c r="T1010" s="169"/>
    </row>
    <row r="1011" spans="1:20" hidden="1" x14ac:dyDescent="0.25">
      <c r="A1011" s="61"/>
      <c r="B1011" s="51" t="s">
        <v>27</v>
      </c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>
        <f t="shared" si="427"/>
        <v>0</v>
      </c>
      <c r="Q1011" s="58"/>
      <c r="R1011" s="42">
        <f t="shared" si="428"/>
        <v>0</v>
      </c>
      <c r="S1011" s="42"/>
      <c r="T1011" s="169"/>
    </row>
    <row r="1012" spans="1:20" hidden="1" x14ac:dyDescent="0.25">
      <c r="A1012" s="61"/>
      <c r="B1012" s="51" t="s">
        <v>28</v>
      </c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>
        <f t="shared" si="427"/>
        <v>0</v>
      </c>
      <c r="Q1012" s="58"/>
      <c r="R1012" s="42">
        <f t="shared" si="428"/>
        <v>0</v>
      </c>
      <c r="S1012" s="42"/>
      <c r="T1012" s="169"/>
    </row>
    <row r="1013" spans="1:20" hidden="1" x14ac:dyDescent="0.25">
      <c r="A1013" s="61"/>
      <c r="B1013" s="51" t="s">
        <v>29</v>
      </c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>
        <f t="shared" si="427"/>
        <v>0</v>
      </c>
      <c r="Q1013" s="58"/>
      <c r="R1013" s="42">
        <f t="shared" si="428"/>
        <v>0</v>
      </c>
      <c r="S1013" s="42"/>
      <c r="T1013" s="169"/>
    </row>
    <row r="1014" spans="1:20" ht="39" hidden="1" x14ac:dyDescent="0.25">
      <c r="A1014" s="61" t="s">
        <v>61</v>
      </c>
      <c r="B1014" s="51" t="s">
        <v>56</v>
      </c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>
        <f t="shared" si="427"/>
        <v>0</v>
      </c>
      <c r="Q1014" s="58"/>
      <c r="R1014" s="42">
        <f t="shared" si="428"/>
        <v>0</v>
      </c>
      <c r="S1014" s="42"/>
      <c r="T1014" s="169"/>
    </row>
    <row r="1015" spans="1:20" hidden="1" x14ac:dyDescent="0.25">
      <c r="A1015" s="61"/>
      <c r="B1015" s="51" t="s">
        <v>27</v>
      </c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>
        <f t="shared" si="427"/>
        <v>0</v>
      </c>
      <c r="Q1015" s="58"/>
      <c r="R1015" s="42">
        <f t="shared" si="428"/>
        <v>0</v>
      </c>
      <c r="S1015" s="42"/>
      <c r="T1015" s="169"/>
    </row>
    <row r="1016" spans="1:20" hidden="1" x14ac:dyDescent="0.25">
      <c r="A1016" s="61"/>
      <c r="B1016" s="51" t="s">
        <v>28</v>
      </c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>
        <f t="shared" si="427"/>
        <v>0</v>
      </c>
      <c r="Q1016" s="58"/>
      <c r="R1016" s="42">
        <f t="shared" si="428"/>
        <v>0</v>
      </c>
      <c r="S1016" s="42"/>
      <c r="T1016" s="169"/>
    </row>
    <row r="1017" spans="1:20" hidden="1" x14ac:dyDescent="0.25">
      <c r="A1017" s="61"/>
      <c r="B1017" s="51" t="s">
        <v>29</v>
      </c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>
        <f t="shared" si="427"/>
        <v>0</v>
      </c>
      <c r="Q1017" s="58"/>
      <c r="R1017" s="42">
        <f t="shared" si="428"/>
        <v>0</v>
      </c>
      <c r="S1017" s="42"/>
      <c r="T1017" s="169"/>
    </row>
    <row r="1018" spans="1:20" ht="51.75" hidden="1" x14ac:dyDescent="0.25">
      <c r="A1018" s="61" t="s">
        <v>62</v>
      </c>
      <c r="B1018" s="51" t="s">
        <v>57</v>
      </c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>
        <f t="shared" si="427"/>
        <v>0</v>
      </c>
      <c r="Q1018" s="58"/>
      <c r="R1018" s="42">
        <f t="shared" si="428"/>
        <v>0</v>
      </c>
      <c r="S1018" s="42"/>
      <c r="T1018" s="169"/>
    </row>
    <row r="1019" spans="1:20" hidden="1" x14ac:dyDescent="0.25">
      <c r="A1019" s="61"/>
      <c r="B1019" s="51" t="s">
        <v>27</v>
      </c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>
        <f t="shared" si="427"/>
        <v>0</v>
      </c>
      <c r="Q1019" s="58"/>
      <c r="R1019" s="42">
        <f t="shared" si="428"/>
        <v>0</v>
      </c>
      <c r="S1019" s="42"/>
      <c r="T1019" s="169"/>
    </row>
    <row r="1020" spans="1:20" hidden="1" x14ac:dyDescent="0.25">
      <c r="A1020" s="61"/>
      <c r="B1020" s="51" t="s">
        <v>28</v>
      </c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>
        <f t="shared" si="427"/>
        <v>0</v>
      </c>
      <c r="Q1020" s="58"/>
      <c r="R1020" s="42">
        <f t="shared" si="428"/>
        <v>0</v>
      </c>
      <c r="S1020" s="42"/>
      <c r="T1020" s="169"/>
    </row>
    <row r="1021" spans="1:20" hidden="1" x14ac:dyDescent="0.25">
      <c r="A1021" s="61"/>
      <c r="B1021" s="51" t="s">
        <v>29</v>
      </c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>
        <f t="shared" si="427"/>
        <v>0</v>
      </c>
      <c r="Q1021" s="58"/>
      <c r="R1021" s="42">
        <f t="shared" si="428"/>
        <v>0</v>
      </c>
      <c r="S1021" s="42"/>
      <c r="T1021" s="169"/>
    </row>
    <row r="1022" spans="1:20" ht="51.75" hidden="1" x14ac:dyDescent="0.25">
      <c r="A1022" s="61" t="s">
        <v>249</v>
      </c>
      <c r="B1022" s="51" t="s">
        <v>58</v>
      </c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>
        <f t="shared" si="427"/>
        <v>0</v>
      </c>
      <c r="Q1022" s="58"/>
      <c r="R1022" s="42">
        <f t="shared" si="428"/>
        <v>0</v>
      </c>
      <c r="S1022" s="42"/>
      <c r="T1022" s="168"/>
    </row>
    <row r="1023" spans="1:20" hidden="1" x14ac:dyDescent="0.25">
      <c r="A1023" s="61"/>
      <c r="B1023" s="51" t="s">
        <v>27</v>
      </c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>
        <f t="shared" si="427"/>
        <v>0</v>
      </c>
      <c r="Q1023" s="58"/>
      <c r="R1023" s="42">
        <f t="shared" si="428"/>
        <v>0</v>
      </c>
      <c r="S1023" s="42"/>
      <c r="T1023" s="168"/>
    </row>
    <row r="1024" spans="1:20" hidden="1" x14ac:dyDescent="0.25">
      <c r="A1024" s="61"/>
      <c r="B1024" s="51" t="s">
        <v>28</v>
      </c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>
        <f t="shared" si="427"/>
        <v>0</v>
      </c>
      <c r="Q1024" s="58"/>
      <c r="R1024" s="42">
        <f t="shared" si="428"/>
        <v>0</v>
      </c>
      <c r="S1024" s="42"/>
      <c r="T1024" s="168"/>
    </row>
    <row r="1025" spans="1:23" hidden="1" x14ac:dyDescent="0.25">
      <c r="A1025" s="61"/>
      <c r="B1025" s="51" t="s">
        <v>29</v>
      </c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>
        <f t="shared" si="427"/>
        <v>0</v>
      </c>
      <c r="Q1025" s="58"/>
      <c r="R1025" s="42">
        <f t="shared" si="428"/>
        <v>0</v>
      </c>
      <c r="S1025" s="42"/>
      <c r="T1025" s="168"/>
    </row>
    <row r="1026" spans="1:23" ht="39" hidden="1" x14ac:dyDescent="0.25">
      <c r="A1026" s="61" t="s">
        <v>64</v>
      </c>
      <c r="B1026" s="51" t="s">
        <v>30</v>
      </c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>
        <f t="shared" si="427"/>
        <v>0</v>
      </c>
      <c r="Q1026" s="58"/>
      <c r="R1026" s="42">
        <f t="shared" si="428"/>
        <v>0</v>
      </c>
      <c r="S1026" s="42"/>
      <c r="T1026" s="168"/>
    </row>
    <row r="1027" spans="1:23" hidden="1" x14ac:dyDescent="0.25">
      <c r="A1027" s="61"/>
      <c r="B1027" s="51" t="s">
        <v>27</v>
      </c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>
        <f t="shared" si="427"/>
        <v>0</v>
      </c>
      <c r="Q1027" s="58"/>
      <c r="R1027" s="42">
        <f t="shared" si="428"/>
        <v>0</v>
      </c>
      <c r="S1027" s="42"/>
      <c r="T1027" s="168"/>
    </row>
    <row r="1028" spans="1:23" hidden="1" x14ac:dyDescent="0.25">
      <c r="A1028" s="61"/>
      <c r="B1028" s="51" t="s">
        <v>28</v>
      </c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>
        <f t="shared" si="427"/>
        <v>0</v>
      </c>
      <c r="Q1028" s="58"/>
      <c r="R1028" s="42">
        <f t="shared" si="428"/>
        <v>0</v>
      </c>
      <c r="S1028" s="42"/>
      <c r="T1028" s="168"/>
    </row>
    <row r="1029" spans="1:23" hidden="1" x14ac:dyDescent="0.25">
      <c r="A1029" s="61"/>
      <c r="B1029" s="51" t="s">
        <v>29</v>
      </c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>
        <f t="shared" si="427"/>
        <v>0</v>
      </c>
      <c r="Q1029" s="58"/>
      <c r="R1029" s="42">
        <f t="shared" si="428"/>
        <v>0</v>
      </c>
      <c r="S1029" s="42"/>
      <c r="T1029" s="168"/>
    </row>
    <row r="1030" spans="1:23" ht="39" hidden="1" x14ac:dyDescent="0.25">
      <c r="A1030" s="61"/>
      <c r="B1030" s="51" t="s">
        <v>9</v>
      </c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>
        <f t="shared" si="427"/>
        <v>0</v>
      </c>
      <c r="Q1030" s="58"/>
      <c r="R1030" s="42">
        <f t="shared" si="428"/>
        <v>0</v>
      </c>
      <c r="S1030" s="42"/>
      <c r="T1030" s="168"/>
    </row>
    <row r="1031" spans="1:23" ht="39" hidden="1" x14ac:dyDescent="0.25">
      <c r="A1031" s="61"/>
      <c r="B1031" s="51" t="s">
        <v>11</v>
      </c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>
        <f t="shared" si="427"/>
        <v>0</v>
      </c>
      <c r="Q1031" s="58"/>
      <c r="R1031" s="42">
        <f t="shared" si="428"/>
        <v>0</v>
      </c>
      <c r="S1031" s="42"/>
      <c r="T1031" s="168"/>
    </row>
    <row r="1032" spans="1:23" hidden="1" x14ac:dyDescent="0.25">
      <c r="A1032" s="61"/>
      <c r="B1032" s="51" t="s">
        <v>13</v>
      </c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>
        <f t="shared" si="427"/>
        <v>0</v>
      </c>
      <c r="Q1032" s="58"/>
      <c r="R1032" s="42">
        <f t="shared" si="428"/>
        <v>0</v>
      </c>
      <c r="S1032" s="42"/>
      <c r="T1032" s="168"/>
    </row>
    <row r="1033" spans="1:23" hidden="1" x14ac:dyDescent="0.25">
      <c r="A1033" s="61"/>
      <c r="B1033" s="61" t="s">
        <v>14</v>
      </c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>
        <f t="shared" si="427"/>
        <v>0</v>
      </c>
      <c r="Q1033" s="58"/>
      <c r="R1033" s="42">
        <f t="shared" si="428"/>
        <v>0</v>
      </c>
      <c r="S1033" s="42"/>
      <c r="T1033" s="168"/>
    </row>
    <row r="1034" spans="1:23" hidden="1" x14ac:dyDescent="0.25">
      <c r="A1034" s="61"/>
      <c r="B1034" s="61" t="s">
        <v>17</v>
      </c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>
        <f t="shared" si="427"/>
        <v>0</v>
      </c>
      <c r="Q1034" s="58"/>
      <c r="R1034" s="42">
        <f t="shared" si="428"/>
        <v>0</v>
      </c>
      <c r="S1034" s="42"/>
      <c r="T1034" s="168"/>
    </row>
    <row r="1035" spans="1:23" hidden="1" x14ac:dyDescent="0.25">
      <c r="A1035" s="61"/>
      <c r="B1035" s="61" t="s">
        <v>14</v>
      </c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>
        <f t="shared" si="427"/>
        <v>0</v>
      </c>
      <c r="Q1035" s="58"/>
      <c r="R1035" s="42">
        <f t="shared" si="428"/>
        <v>0</v>
      </c>
      <c r="S1035" s="42"/>
      <c r="T1035" s="168"/>
    </row>
    <row r="1036" spans="1:23" hidden="1" x14ac:dyDescent="0.25">
      <c r="A1036" s="65"/>
      <c r="B1036" s="51" t="s">
        <v>13</v>
      </c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>
        <f t="shared" si="427"/>
        <v>0</v>
      </c>
      <c r="Q1036" s="58"/>
      <c r="R1036" s="42">
        <f t="shared" si="428"/>
        <v>0</v>
      </c>
      <c r="S1036" s="42"/>
      <c r="T1036" s="168"/>
    </row>
    <row r="1037" spans="1:23" s="60" customFormat="1" hidden="1" x14ac:dyDescent="0.25">
      <c r="A1037" s="56"/>
      <c r="B1037" s="51" t="s">
        <v>27</v>
      </c>
      <c r="C1037" s="58"/>
      <c r="D1037" s="58"/>
      <c r="E1037" s="58"/>
      <c r="F1037" s="42"/>
      <c r="G1037" s="58"/>
      <c r="H1037" s="58"/>
      <c r="I1037" s="58"/>
      <c r="J1037" s="58"/>
      <c r="K1037" s="42"/>
      <c r="L1037" s="58"/>
      <c r="M1037" s="42"/>
      <c r="N1037" s="58"/>
      <c r="O1037" s="42"/>
      <c r="P1037" s="42">
        <f t="shared" si="427"/>
        <v>0</v>
      </c>
      <c r="Q1037" s="58"/>
      <c r="R1037" s="42">
        <f t="shared" si="428"/>
        <v>0</v>
      </c>
      <c r="S1037" s="58"/>
      <c r="T1037" s="168"/>
      <c r="U1037" s="68"/>
      <c r="V1037" s="66"/>
      <c r="W1037" s="66"/>
    </row>
    <row r="1038" spans="1:23" hidden="1" x14ac:dyDescent="0.25">
      <c r="A1038" s="61"/>
      <c r="B1038" s="51" t="s">
        <v>28</v>
      </c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>
        <f t="shared" si="427"/>
        <v>0</v>
      </c>
      <c r="Q1038" s="58"/>
      <c r="R1038" s="42">
        <f t="shared" si="428"/>
        <v>0</v>
      </c>
      <c r="S1038" s="42"/>
      <c r="T1038" s="168"/>
    </row>
    <row r="1039" spans="1:23" hidden="1" x14ac:dyDescent="0.25">
      <c r="A1039" s="61"/>
      <c r="B1039" s="51" t="s">
        <v>29</v>
      </c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>
        <f t="shared" si="427"/>
        <v>0</v>
      </c>
      <c r="Q1039" s="58"/>
      <c r="R1039" s="42">
        <f t="shared" si="428"/>
        <v>0</v>
      </c>
      <c r="S1039" s="42"/>
      <c r="T1039" s="168"/>
    </row>
    <row r="1040" spans="1:23" x14ac:dyDescent="0.25">
      <c r="A1040" s="85"/>
      <c r="B1040" s="100" t="s">
        <v>322</v>
      </c>
      <c r="C1040" s="75">
        <f>C986</f>
        <v>9</v>
      </c>
      <c r="D1040" s="75"/>
      <c r="E1040" s="75">
        <f>E986+E997</f>
        <v>175000</v>
      </c>
      <c r="F1040" s="75"/>
      <c r="G1040" s="75">
        <f>G986+G997</f>
        <v>61000</v>
      </c>
      <c r="H1040" s="75"/>
      <c r="I1040" s="75"/>
      <c r="J1040" s="75"/>
      <c r="K1040" s="75">
        <f>K986+K997</f>
        <v>18990</v>
      </c>
      <c r="L1040" s="75"/>
      <c r="M1040" s="75"/>
      <c r="N1040" s="75"/>
      <c r="O1040" s="75">
        <f>O986+O997</f>
        <v>9010</v>
      </c>
      <c r="P1040" s="75"/>
      <c r="Q1040" s="75"/>
      <c r="R1040" s="75">
        <f>R986+R997</f>
        <v>264000</v>
      </c>
      <c r="S1040" s="75">
        <v>2000</v>
      </c>
      <c r="T1040" s="101">
        <f>R1040+S1040</f>
        <v>266000</v>
      </c>
      <c r="U1040" s="180"/>
      <c r="V1040" s="180"/>
      <c r="W1040" s="185"/>
    </row>
    <row r="1041" spans="1:23" s="60" customFormat="1" x14ac:dyDescent="0.25">
      <c r="A1041" s="56">
        <v>28</v>
      </c>
      <c r="B1041" s="8" t="s">
        <v>85</v>
      </c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42"/>
      <c r="Q1041" s="58"/>
      <c r="R1041" s="58"/>
      <c r="S1041" s="58"/>
      <c r="T1041" s="168"/>
      <c r="U1041" s="68"/>
      <c r="V1041" s="66"/>
      <c r="W1041" s="186"/>
    </row>
    <row r="1042" spans="1:23" ht="39" hidden="1" x14ac:dyDescent="0.25">
      <c r="A1042" s="61" t="s">
        <v>15</v>
      </c>
      <c r="B1042" s="51" t="s">
        <v>54</v>
      </c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58"/>
      <c r="R1042" s="42"/>
      <c r="S1042" s="42"/>
      <c r="T1042" s="169"/>
      <c r="W1042" s="185"/>
    </row>
    <row r="1043" spans="1:23" hidden="1" x14ac:dyDescent="0.25">
      <c r="A1043" s="61"/>
      <c r="B1043" s="51" t="s">
        <v>27</v>
      </c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58"/>
      <c r="R1043" s="42"/>
      <c r="S1043" s="42"/>
      <c r="T1043" s="169"/>
      <c r="W1043" s="185"/>
    </row>
    <row r="1044" spans="1:23" hidden="1" x14ac:dyDescent="0.25">
      <c r="A1044" s="61"/>
      <c r="B1044" s="51" t="s">
        <v>28</v>
      </c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58"/>
      <c r="R1044" s="42"/>
      <c r="S1044" s="42"/>
      <c r="T1044" s="169"/>
      <c r="W1044" s="185"/>
    </row>
    <row r="1045" spans="1:23" hidden="1" x14ac:dyDescent="0.25">
      <c r="A1045" s="61"/>
      <c r="B1045" s="51" t="s">
        <v>29</v>
      </c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58"/>
      <c r="R1045" s="42"/>
      <c r="S1045" s="42"/>
      <c r="T1045" s="169"/>
      <c r="W1045" s="185"/>
    </row>
    <row r="1046" spans="1:23" ht="39" hidden="1" x14ac:dyDescent="0.25">
      <c r="A1046" s="61" t="s">
        <v>59</v>
      </c>
      <c r="B1046" s="51" t="s">
        <v>68</v>
      </c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58"/>
      <c r="R1046" s="42"/>
      <c r="S1046" s="42"/>
      <c r="T1046" s="169"/>
      <c r="W1046" s="185"/>
    </row>
    <row r="1047" spans="1:23" hidden="1" x14ac:dyDescent="0.25">
      <c r="A1047" s="61"/>
      <c r="B1047" s="51" t="s">
        <v>27</v>
      </c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58"/>
      <c r="R1047" s="42"/>
      <c r="S1047" s="42"/>
      <c r="T1047" s="169"/>
      <c r="W1047" s="185"/>
    </row>
    <row r="1048" spans="1:23" hidden="1" x14ac:dyDescent="0.25">
      <c r="A1048" s="61"/>
      <c r="B1048" s="51" t="s">
        <v>28</v>
      </c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58"/>
      <c r="R1048" s="42"/>
      <c r="S1048" s="42"/>
      <c r="T1048" s="169"/>
      <c r="W1048" s="185"/>
    </row>
    <row r="1049" spans="1:23" hidden="1" x14ac:dyDescent="0.25">
      <c r="A1049" s="61"/>
      <c r="B1049" s="51" t="s">
        <v>29</v>
      </c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58"/>
      <c r="R1049" s="42"/>
      <c r="S1049" s="42"/>
      <c r="T1049" s="169"/>
      <c r="W1049" s="185"/>
    </row>
    <row r="1050" spans="1:23" ht="39" hidden="1" x14ac:dyDescent="0.25">
      <c r="A1050" s="61" t="s">
        <v>60</v>
      </c>
      <c r="B1050" s="51" t="s">
        <v>55</v>
      </c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58"/>
      <c r="R1050" s="42"/>
      <c r="S1050" s="42"/>
      <c r="T1050" s="169"/>
      <c r="W1050" s="185"/>
    </row>
    <row r="1051" spans="1:23" hidden="1" x14ac:dyDescent="0.25">
      <c r="A1051" s="61"/>
      <c r="B1051" s="51" t="s">
        <v>27</v>
      </c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58"/>
      <c r="R1051" s="42"/>
      <c r="S1051" s="42"/>
      <c r="T1051" s="169"/>
      <c r="W1051" s="185"/>
    </row>
    <row r="1052" spans="1:23" hidden="1" x14ac:dyDescent="0.25">
      <c r="A1052" s="61"/>
      <c r="B1052" s="51" t="s">
        <v>28</v>
      </c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58"/>
      <c r="R1052" s="42"/>
      <c r="S1052" s="42"/>
      <c r="T1052" s="169"/>
      <c r="W1052" s="185"/>
    </row>
    <row r="1053" spans="1:23" hidden="1" x14ac:dyDescent="0.25">
      <c r="A1053" s="61"/>
      <c r="B1053" s="51" t="s">
        <v>29</v>
      </c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58"/>
      <c r="R1053" s="42"/>
      <c r="S1053" s="42"/>
      <c r="T1053" s="169"/>
      <c r="W1053" s="185"/>
    </row>
    <row r="1054" spans="1:23" ht="39" x14ac:dyDescent="0.25">
      <c r="A1054" s="61" t="s">
        <v>250</v>
      </c>
      <c r="B1054" s="51" t="s">
        <v>56</v>
      </c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58"/>
      <c r="R1054" s="42"/>
      <c r="S1054" s="42"/>
      <c r="T1054" s="168"/>
      <c r="W1054" s="185"/>
    </row>
    <row r="1055" spans="1:23" x14ac:dyDescent="0.25">
      <c r="A1055" s="61"/>
      <c r="B1055" s="51" t="s">
        <v>287</v>
      </c>
      <c r="C1055" s="42">
        <v>14</v>
      </c>
      <c r="D1055" s="42">
        <v>67698</v>
      </c>
      <c r="E1055" s="42">
        <f>C1055*D1055+12788</f>
        <v>960560</v>
      </c>
      <c r="F1055" s="42">
        <f t="shared" ref="F1055:F1057" si="430">ROUND(D1055*35.045%,0)</f>
        <v>23725</v>
      </c>
      <c r="G1055" s="42">
        <f>C1055*F1055+4990</f>
        <v>337140</v>
      </c>
      <c r="H1055" s="63">
        <v>17881.599999999999</v>
      </c>
      <c r="I1055" s="63">
        <v>1.1859999999999999</v>
      </c>
      <c r="J1055" s="42">
        <f t="shared" ref="J1055" si="431">H1055*I1055</f>
        <v>21207.577599999997</v>
      </c>
      <c r="K1055" s="42">
        <f>ROUND(C1055*J1055,0)</f>
        <v>296906</v>
      </c>
      <c r="L1055" s="42"/>
      <c r="M1055" s="42"/>
      <c r="N1055" s="42"/>
      <c r="O1055" s="42"/>
      <c r="P1055" s="42">
        <f t="shared" ref="P1055:P1065" si="432">D1055+F1055+J1055+N1055</f>
        <v>112630.57759999999</v>
      </c>
      <c r="Q1055" s="58"/>
      <c r="R1055" s="42">
        <f t="shared" ref="R1055:R1065" si="433">E1055+G1055+K1055+O1055</f>
        <v>1594606</v>
      </c>
      <c r="S1055" s="42"/>
      <c r="T1055" s="168"/>
      <c r="W1055" s="185"/>
    </row>
    <row r="1056" spans="1:23" x14ac:dyDescent="0.25">
      <c r="A1056" s="61"/>
      <c r="B1056" s="51" t="s">
        <v>28</v>
      </c>
      <c r="C1056" s="42">
        <v>15</v>
      </c>
      <c r="D1056" s="42">
        <v>50772</v>
      </c>
      <c r="E1056" s="42">
        <f t="shared" ref="E1056:E1065" si="434">C1056*D1056</f>
        <v>761580</v>
      </c>
      <c r="F1056" s="42">
        <f t="shared" si="430"/>
        <v>17793</v>
      </c>
      <c r="G1056" s="42">
        <f t="shared" ref="G1056:G1057" si="435">C1056*F1056</f>
        <v>266895</v>
      </c>
      <c r="H1056" s="63">
        <v>17881.599999999999</v>
      </c>
      <c r="I1056" s="63">
        <v>1.1859999999999999</v>
      </c>
      <c r="J1056" s="42">
        <f t="shared" ref="J1056:J1057" si="436">H1056*I1056</f>
        <v>21207.577599999997</v>
      </c>
      <c r="K1056" s="42">
        <f t="shared" ref="K1056:K1057" si="437">ROUND(C1056*J1056,0)</f>
        <v>318114</v>
      </c>
      <c r="L1056" s="42"/>
      <c r="M1056" s="42"/>
      <c r="N1056" s="42"/>
      <c r="O1056" s="42"/>
      <c r="P1056" s="42">
        <f t="shared" si="432"/>
        <v>89772.57759999999</v>
      </c>
      <c r="Q1056" s="58"/>
      <c r="R1056" s="42">
        <f t="shared" si="433"/>
        <v>1346589</v>
      </c>
      <c r="S1056" s="42"/>
      <c r="T1056" s="168"/>
      <c r="W1056" s="185"/>
    </row>
    <row r="1057" spans="1:23" x14ac:dyDescent="0.25">
      <c r="A1057" s="61"/>
      <c r="B1057" s="51" t="s">
        <v>289</v>
      </c>
      <c r="C1057" s="42">
        <v>5</v>
      </c>
      <c r="D1057" s="42">
        <v>50772</v>
      </c>
      <c r="E1057" s="42">
        <f t="shared" si="434"/>
        <v>253860</v>
      </c>
      <c r="F1057" s="42">
        <f t="shared" si="430"/>
        <v>17793</v>
      </c>
      <c r="G1057" s="42">
        <f t="shared" si="435"/>
        <v>88965</v>
      </c>
      <c r="H1057" s="63">
        <v>17881.599999999999</v>
      </c>
      <c r="I1057" s="63">
        <v>1.1859999999999999</v>
      </c>
      <c r="J1057" s="42">
        <f t="shared" si="436"/>
        <v>21207.577599999997</v>
      </c>
      <c r="K1057" s="42">
        <f t="shared" si="437"/>
        <v>106038</v>
      </c>
      <c r="L1057" s="42"/>
      <c r="M1057" s="42"/>
      <c r="N1057" s="42"/>
      <c r="O1057" s="42"/>
      <c r="P1057" s="42">
        <f t="shared" si="432"/>
        <v>89772.57759999999</v>
      </c>
      <c r="Q1057" s="58"/>
      <c r="R1057" s="42">
        <f t="shared" si="433"/>
        <v>448863</v>
      </c>
      <c r="S1057" s="42"/>
      <c r="T1057" s="168"/>
      <c r="W1057" s="185"/>
    </row>
    <row r="1058" spans="1:23" ht="51.75" hidden="1" x14ac:dyDescent="0.25">
      <c r="A1058" s="61" t="s">
        <v>251</v>
      </c>
      <c r="B1058" s="51" t="s">
        <v>57</v>
      </c>
      <c r="C1058" s="42"/>
      <c r="D1058" s="42"/>
      <c r="E1058" s="42">
        <f t="shared" si="434"/>
        <v>0</v>
      </c>
      <c r="F1058" s="42"/>
      <c r="G1058" s="42"/>
      <c r="H1058" s="42"/>
      <c r="I1058" s="63"/>
      <c r="J1058" s="42"/>
      <c r="K1058" s="42"/>
      <c r="L1058" s="42"/>
      <c r="M1058" s="42"/>
      <c r="N1058" s="42"/>
      <c r="O1058" s="42"/>
      <c r="P1058" s="42">
        <f t="shared" si="432"/>
        <v>0</v>
      </c>
      <c r="Q1058" s="58"/>
      <c r="R1058" s="42">
        <f t="shared" si="433"/>
        <v>0</v>
      </c>
      <c r="S1058" s="42"/>
      <c r="T1058" s="168"/>
      <c r="W1058" s="185"/>
    </row>
    <row r="1059" spans="1:23" hidden="1" x14ac:dyDescent="0.25">
      <c r="A1059" s="61"/>
      <c r="B1059" s="51" t="s">
        <v>287</v>
      </c>
      <c r="C1059" s="42"/>
      <c r="D1059" s="42"/>
      <c r="E1059" s="42">
        <f t="shared" si="434"/>
        <v>0</v>
      </c>
      <c r="F1059" s="42"/>
      <c r="G1059" s="42"/>
      <c r="H1059" s="42"/>
      <c r="I1059" s="63"/>
      <c r="J1059" s="42"/>
      <c r="K1059" s="42"/>
      <c r="L1059" s="42"/>
      <c r="M1059" s="42"/>
      <c r="N1059" s="42"/>
      <c r="O1059" s="42"/>
      <c r="P1059" s="42">
        <f t="shared" si="432"/>
        <v>0</v>
      </c>
      <c r="Q1059" s="58"/>
      <c r="R1059" s="42">
        <f t="shared" si="433"/>
        <v>0</v>
      </c>
      <c r="S1059" s="42"/>
      <c r="T1059" s="168"/>
      <c r="W1059" s="185"/>
    </row>
    <row r="1060" spans="1:23" hidden="1" x14ac:dyDescent="0.25">
      <c r="A1060" s="61"/>
      <c r="B1060" s="51" t="s">
        <v>28</v>
      </c>
      <c r="C1060" s="42"/>
      <c r="D1060" s="42"/>
      <c r="E1060" s="42">
        <f t="shared" si="434"/>
        <v>0</v>
      </c>
      <c r="F1060" s="42"/>
      <c r="G1060" s="42"/>
      <c r="H1060" s="42"/>
      <c r="I1060" s="63"/>
      <c r="J1060" s="42"/>
      <c r="K1060" s="42"/>
      <c r="L1060" s="42"/>
      <c r="M1060" s="42"/>
      <c r="N1060" s="42"/>
      <c r="O1060" s="42"/>
      <c r="P1060" s="42">
        <f t="shared" si="432"/>
        <v>0</v>
      </c>
      <c r="Q1060" s="58"/>
      <c r="R1060" s="42">
        <f t="shared" si="433"/>
        <v>0</v>
      </c>
      <c r="S1060" s="42"/>
      <c r="T1060" s="168"/>
      <c r="W1060" s="185"/>
    </row>
    <row r="1061" spans="1:23" hidden="1" x14ac:dyDescent="0.25">
      <c r="A1061" s="61"/>
      <c r="B1061" s="51" t="s">
        <v>29</v>
      </c>
      <c r="C1061" s="42"/>
      <c r="D1061" s="42"/>
      <c r="E1061" s="42">
        <f t="shared" si="434"/>
        <v>0</v>
      </c>
      <c r="F1061" s="42"/>
      <c r="G1061" s="42"/>
      <c r="H1061" s="42"/>
      <c r="I1061" s="63"/>
      <c r="J1061" s="42"/>
      <c r="K1061" s="42"/>
      <c r="L1061" s="42"/>
      <c r="M1061" s="42"/>
      <c r="N1061" s="42"/>
      <c r="O1061" s="42"/>
      <c r="P1061" s="42">
        <f t="shared" si="432"/>
        <v>0</v>
      </c>
      <c r="Q1061" s="58"/>
      <c r="R1061" s="42">
        <f t="shared" si="433"/>
        <v>0</v>
      </c>
      <c r="S1061" s="42"/>
      <c r="T1061" s="168"/>
      <c r="W1061" s="185"/>
    </row>
    <row r="1062" spans="1:23" ht="51.75" hidden="1" x14ac:dyDescent="0.25">
      <c r="A1062" s="61" t="s">
        <v>63</v>
      </c>
      <c r="B1062" s="51" t="s">
        <v>58</v>
      </c>
      <c r="C1062" s="42"/>
      <c r="D1062" s="42"/>
      <c r="E1062" s="42">
        <f t="shared" si="434"/>
        <v>0</v>
      </c>
      <c r="F1062" s="42"/>
      <c r="G1062" s="42"/>
      <c r="H1062" s="42"/>
      <c r="I1062" s="63"/>
      <c r="J1062" s="42"/>
      <c r="K1062" s="42"/>
      <c r="L1062" s="42"/>
      <c r="M1062" s="42"/>
      <c r="N1062" s="42"/>
      <c r="O1062" s="42"/>
      <c r="P1062" s="42">
        <f t="shared" si="432"/>
        <v>0</v>
      </c>
      <c r="Q1062" s="58"/>
      <c r="R1062" s="42">
        <f t="shared" si="433"/>
        <v>0</v>
      </c>
      <c r="S1062" s="42"/>
      <c r="T1062" s="168"/>
      <c r="W1062" s="185"/>
    </row>
    <row r="1063" spans="1:23" hidden="1" x14ac:dyDescent="0.25">
      <c r="A1063" s="61"/>
      <c r="B1063" s="51" t="s">
        <v>27</v>
      </c>
      <c r="C1063" s="42"/>
      <c r="D1063" s="42"/>
      <c r="E1063" s="42">
        <f t="shared" si="434"/>
        <v>0</v>
      </c>
      <c r="F1063" s="42"/>
      <c r="G1063" s="42"/>
      <c r="H1063" s="42"/>
      <c r="I1063" s="63"/>
      <c r="J1063" s="42"/>
      <c r="K1063" s="42"/>
      <c r="L1063" s="42"/>
      <c r="M1063" s="42"/>
      <c r="N1063" s="42"/>
      <c r="O1063" s="42"/>
      <c r="P1063" s="42">
        <f t="shared" si="432"/>
        <v>0</v>
      </c>
      <c r="Q1063" s="58"/>
      <c r="R1063" s="42">
        <f t="shared" si="433"/>
        <v>0</v>
      </c>
      <c r="S1063" s="42"/>
      <c r="T1063" s="168"/>
      <c r="W1063" s="185"/>
    </row>
    <row r="1064" spans="1:23" hidden="1" x14ac:dyDescent="0.25">
      <c r="A1064" s="61"/>
      <c r="B1064" s="51" t="s">
        <v>28</v>
      </c>
      <c r="C1064" s="42"/>
      <c r="D1064" s="42"/>
      <c r="E1064" s="42">
        <f t="shared" si="434"/>
        <v>0</v>
      </c>
      <c r="F1064" s="42"/>
      <c r="G1064" s="42"/>
      <c r="H1064" s="42"/>
      <c r="I1064" s="63"/>
      <c r="J1064" s="42"/>
      <c r="K1064" s="42"/>
      <c r="L1064" s="42"/>
      <c r="M1064" s="42"/>
      <c r="N1064" s="42"/>
      <c r="O1064" s="42"/>
      <c r="P1064" s="42">
        <f t="shared" si="432"/>
        <v>0</v>
      </c>
      <c r="Q1064" s="58"/>
      <c r="R1064" s="42">
        <f t="shared" si="433"/>
        <v>0</v>
      </c>
      <c r="S1064" s="42"/>
      <c r="T1064" s="168"/>
      <c r="W1064" s="185"/>
    </row>
    <row r="1065" spans="1:23" hidden="1" x14ac:dyDescent="0.25">
      <c r="A1065" s="61"/>
      <c r="B1065" s="51" t="s">
        <v>29</v>
      </c>
      <c r="C1065" s="42"/>
      <c r="D1065" s="42"/>
      <c r="E1065" s="42">
        <f t="shared" si="434"/>
        <v>0</v>
      </c>
      <c r="F1065" s="42"/>
      <c r="G1065" s="42"/>
      <c r="H1065" s="42"/>
      <c r="I1065" s="63"/>
      <c r="J1065" s="42"/>
      <c r="K1065" s="42"/>
      <c r="L1065" s="42"/>
      <c r="M1065" s="42"/>
      <c r="N1065" s="42"/>
      <c r="O1065" s="42"/>
      <c r="P1065" s="42">
        <f t="shared" si="432"/>
        <v>0</v>
      </c>
      <c r="Q1065" s="58"/>
      <c r="R1065" s="42">
        <f t="shared" si="433"/>
        <v>0</v>
      </c>
      <c r="S1065" s="42"/>
      <c r="T1065" s="168"/>
      <c r="W1065" s="185"/>
    </row>
    <row r="1066" spans="1:23" ht="39" x14ac:dyDescent="0.25">
      <c r="A1066" s="61" t="s">
        <v>252</v>
      </c>
      <c r="B1066" s="51" t="s">
        <v>30</v>
      </c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58"/>
      <c r="R1066" s="42"/>
      <c r="S1066" s="42"/>
      <c r="T1066" s="168"/>
      <c r="W1066" s="185"/>
    </row>
    <row r="1067" spans="1:23" hidden="1" x14ac:dyDescent="0.25">
      <c r="A1067" s="61"/>
      <c r="B1067" s="51" t="s">
        <v>27</v>
      </c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58"/>
      <c r="R1067" s="42"/>
      <c r="S1067" s="42"/>
      <c r="T1067" s="168"/>
      <c r="W1067" s="185"/>
    </row>
    <row r="1068" spans="1:23" x14ac:dyDescent="0.25">
      <c r="A1068" s="61"/>
      <c r="B1068" s="51" t="s">
        <v>28</v>
      </c>
      <c r="C1068" s="42"/>
      <c r="D1068" s="42"/>
      <c r="E1068" s="42"/>
      <c r="F1068" s="42"/>
      <c r="G1068" s="42"/>
      <c r="H1068" s="42"/>
      <c r="I1068" s="63"/>
      <c r="J1068" s="42"/>
      <c r="K1068" s="42"/>
      <c r="L1068" s="42"/>
      <c r="M1068" s="42"/>
      <c r="N1068" s="42"/>
      <c r="O1068" s="42"/>
      <c r="P1068" s="42"/>
      <c r="Q1068" s="58"/>
      <c r="R1068" s="42"/>
      <c r="S1068" s="42"/>
      <c r="T1068" s="168"/>
      <c r="W1068" s="185"/>
    </row>
    <row r="1069" spans="1:23" x14ac:dyDescent="0.25">
      <c r="A1069" s="61"/>
      <c r="B1069" s="51" t="s">
        <v>289</v>
      </c>
      <c r="C1069" s="42"/>
      <c r="D1069" s="42"/>
      <c r="E1069" s="42">
        <f t="shared" ref="E1069" si="438">C1069*D1069</f>
        <v>0</v>
      </c>
      <c r="F1069" s="42">
        <f t="shared" ref="F1069" si="439">ROUND(D1069*39.6%,0)</f>
        <v>0</v>
      </c>
      <c r="G1069" s="42">
        <f t="shared" ref="G1069" si="440">C1069*F1069</f>
        <v>0</v>
      </c>
      <c r="H1069" s="63">
        <v>17881.599999999999</v>
      </c>
      <c r="I1069" s="63">
        <v>1.1859999999999999</v>
      </c>
      <c r="J1069" s="42">
        <f t="shared" ref="J1069" si="441">H1069*I1069</f>
        <v>21207.577599999997</v>
      </c>
      <c r="K1069" s="42">
        <f t="shared" ref="K1069" si="442">ROUND(C1069*J1069,0)</f>
        <v>0</v>
      </c>
      <c r="L1069" s="42"/>
      <c r="M1069" s="42"/>
      <c r="N1069" s="42"/>
      <c r="O1069" s="42"/>
      <c r="P1069" s="42">
        <f t="shared" ref="P1069" si="443">D1069+F1069+J1069+N1069</f>
        <v>21207.577599999997</v>
      </c>
      <c r="Q1069" s="58"/>
      <c r="R1069" s="42">
        <f t="shared" ref="R1069" si="444">E1069+G1069+K1069+O1069</f>
        <v>0</v>
      </c>
      <c r="S1069" s="42"/>
      <c r="T1069" s="168"/>
      <c r="W1069" s="185"/>
    </row>
    <row r="1070" spans="1:23" ht="39" hidden="1" x14ac:dyDescent="0.25">
      <c r="A1070" s="61"/>
      <c r="B1070" s="51" t="s">
        <v>9</v>
      </c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58"/>
      <c r="R1070" s="42"/>
      <c r="S1070" s="42"/>
      <c r="T1070" s="168"/>
      <c r="W1070" s="185"/>
    </row>
    <row r="1071" spans="1:23" ht="39" hidden="1" x14ac:dyDescent="0.25">
      <c r="A1071" s="61"/>
      <c r="B1071" s="51" t="s">
        <v>11</v>
      </c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58"/>
      <c r="R1071" s="42"/>
      <c r="S1071" s="42"/>
      <c r="T1071" s="168"/>
      <c r="W1071" s="185"/>
    </row>
    <row r="1072" spans="1:23" hidden="1" x14ac:dyDescent="0.25">
      <c r="A1072" s="61"/>
      <c r="B1072" s="51" t="s">
        <v>13</v>
      </c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58"/>
      <c r="R1072" s="42"/>
      <c r="S1072" s="42"/>
      <c r="T1072" s="168"/>
      <c r="W1072" s="185"/>
    </row>
    <row r="1073" spans="1:23" hidden="1" x14ac:dyDescent="0.25">
      <c r="A1073" s="61"/>
      <c r="B1073" s="61" t="s">
        <v>14</v>
      </c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58"/>
      <c r="R1073" s="42"/>
      <c r="S1073" s="42"/>
      <c r="T1073" s="168"/>
      <c r="W1073" s="185"/>
    </row>
    <row r="1074" spans="1:23" hidden="1" x14ac:dyDescent="0.25">
      <c r="A1074" s="61"/>
      <c r="B1074" s="61" t="s">
        <v>17</v>
      </c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58"/>
      <c r="R1074" s="42"/>
      <c r="S1074" s="42"/>
      <c r="T1074" s="168"/>
      <c r="W1074" s="185"/>
    </row>
    <row r="1075" spans="1:23" hidden="1" x14ac:dyDescent="0.25">
      <c r="A1075" s="61"/>
      <c r="B1075" s="61" t="s">
        <v>14</v>
      </c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58"/>
      <c r="R1075" s="42"/>
      <c r="S1075" s="42"/>
      <c r="T1075" s="168"/>
      <c r="W1075" s="185"/>
    </row>
    <row r="1076" spans="1:23" x14ac:dyDescent="0.25">
      <c r="A1076" s="65"/>
      <c r="B1076" s="51" t="s">
        <v>13</v>
      </c>
      <c r="C1076" s="42">
        <v>34</v>
      </c>
      <c r="D1076" s="42"/>
      <c r="E1076" s="42"/>
      <c r="F1076" s="42"/>
      <c r="G1076" s="42"/>
      <c r="H1076" s="42"/>
      <c r="I1076" s="42"/>
      <c r="J1076" s="42"/>
      <c r="K1076" s="42"/>
      <c r="L1076" s="63">
        <v>4769.12</v>
      </c>
      <c r="M1076" s="63">
        <v>1.53</v>
      </c>
      <c r="N1076" s="42">
        <f t="shared" ref="N1076" si="445">L1076*M1076</f>
        <v>7296.7536</v>
      </c>
      <c r="O1076" s="42">
        <f>ROUND(C1076*N1076,0)+66852</f>
        <v>314942</v>
      </c>
      <c r="P1076" s="42">
        <f t="shared" ref="P1076" si="446">D1076+F1076+J1076+N1076</f>
        <v>7296.7536</v>
      </c>
      <c r="Q1076" s="58"/>
      <c r="R1076" s="42">
        <f t="shared" ref="R1076" si="447">E1076+G1076+K1076+O1076</f>
        <v>314942</v>
      </c>
      <c r="S1076" s="42"/>
      <c r="T1076" s="168"/>
      <c r="W1076" s="185"/>
    </row>
    <row r="1077" spans="1:23" s="60" customFormat="1" hidden="1" x14ac:dyDescent="0.25">
      <c r="A1077" s="56"/>
      <c r="B1077" s="51" t="s">
        <v>27</v>
      </c>
      <c r="C1077" s="58"/>
      <c r="D1077" s="58"/>
      <c r="E1077" s="58"/>
      <c r="F1077" s="42"/>
      <c r="G1077" s="58"/>
      <c r="H1077" s="58"/>
      <c r="I1077" s="58"/>
      <c r="J1077" s="58"/>
      <c r="K1077" s="42"/>
      <c r="L1077" s="58"/>
      <c r="M1077" s="42"/>
      <c r="N1077" s="58"/>
      <c r="O1077" s="42"/>
      <c r="P1077" s="42"/>
      <c r="Q1077" s="58"/>
      <c r="R1077" s="42"/>
      <c r="S1077" s="58"/>
      <c r="T1077" s="168"/>
      <c r="U1077" s="68"/>
      <c r="V1077" s="66"/>
      <c r="W1077" s="186"/>
    </row>
    <row r="1078" spans="1:23" hidden="1" x14ac:dyDescent="0.25">
      <c r="A1078" s="61"/>
      <c r="B1078" s="51" t="s">
        <v>28</v>
      </c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58"/>
      <c r="R1078" s="42"/>
      <c r="S1078" s="42"/>
      <c r="T1078" s="168"/>
      <c r="W1078" s="185"/>
    </row>
    <row r="1079" spans="1:23" hidden="1" x14ac:dyDescent="0.25">
      <c r="A1079" s="61"/>
      <c r="B1079" s="51" t="s">
        <v>29</v>
      </c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58"/>
      <c r="R1079" s="42"/>
      <c r="S1079" s="42"/>
      <c r="T1079" s="168"/>
      <c r="W1079" s="185"/>
    </row>
    <row r="1080" spans="1:23" x14ac:dyDescent="0.25">
      <c r="A1080" s="85"/>
      <c r="B1080" s="100" t="s">
        <v>323</v>
      </c>
      <c r="C1080" s="75">
        <f>C1055+C1056+C1057+C1069</f>
        <v>34</v>
      </c>
      <c r="D1080" s="75"/>
      <c r="E1080" s="75">
        <f>E1055+E1056+E1057+E1069</f>
        <v>1976000</v>
      </c>
      <c r="F1080" s="75"/>
      <c r="G1080" s="75">
        <f>G1055+G1056+G1057+G1069+G1076</f>
        <v>693000</v>
      </c>
      <c r="H1080" s="75"/>
      <c r="I1080" s="75"/>
      <c r="J1080" s="75"/>
      <c r="K1080" s="75">
        <f>K1055+K1056+K1057+K1069+K1076</f>
        <v>721058</v>
      </c>
      <c r="L1080" s="75"/>
      <c r="M1080" s="75"/>
      <c r="N1080" s="75"/>
      <c r="O1080" s="75">
        <f>O1055+O1056+O1057+O1069+O1076</f>
        <v>314942</v>
      </c>
      <c r="P1080" s="75"/>
      <c r="Q1080" s="75"/>
      <c r="R1080" s="75">
        <f>R1055+R1056+R1057+R1069+R1076</f>
        <v>3705000</v>
      </c>
      <c r="S1080" s="75">
        <v>2000</v>
      </c>
      <c r="T1080" s="101">
        <f>R1080+S1080</f>
        <v>3707000</v>
      </c>
      <c r="U1080" s="180"/>
      <c r="V1080" s="180"/>
      <c r="W1080" s="185"/>
    </row>
    <row r="1081" spans="1:23" s="60" customFormat="1" x14ac:dyDescent="0.25">
      <c r="A1081" s="56">
        <v>2</v>
      </c>
      <c r="B1081" s="8" t="s">
        <v>86</v>
      </c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42"/>
      <c r="Q1081" s="58"/>
      <c r="R1081" s="58"/>
      <c r="S1081" s="58"/>
      <c r="T1081" s="168"/>
      <c r="U1081" s="68"/>
      <c r="V1081" s="66"/>
      <c r="W1081" s="186"/>
    </row>
    <row r="1082" spans="1:23" ht="39" hidden="1" x14ac:dyDescent="0.25">
      <c r="A1082" s="61" t="s">
        <v>15</v>
      </c>
      <c r="B1082" s="51" t="s">
        <v>54</v>
      </c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58"/>
      <c r="R1082" s="42"/>
      <c r="S1082" s="42"/>
      <c r="T1082" s="169"/>
      <c r="W1082" s="185"/>
    </row>
    <row r="1083" spans="1:23" hidden="1" x14ac:dyDescent="0.25">
      <c r="A1083" s="61"/>
      <c r="B1083" s="51" t="s">
        <v>27</v>
      </c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58"/>
      <c r="R1083" s="42"/>
      <c r="S1083" s="42"/>
      <c r="T1083" s="169"/>
      <c r="W1083" s="185"/>
    </row>
    <row r="1084" spans="1:23" hidden="1" x14ac:dyDescent="0.25">
      <c r="A1084" s="61"/>
      <c r="B1084" s="51" t="s">
        <v>28</v>
      </c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58"/>
      <c r="R1084" s="42"/>
      <c r="S1084" s="42"/>
      <c r="T1084" s="169"/>
      <c r="W1084" s="185"/>
    </row>
    <row r="1085" spans="1:23" hidden="1" x14ac:dyDescent="0.25">
      <c r="A1085" s="61"/>
      <c r="B1085" s="51" t="s">
        <v>29</v>
      </c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58"/>
      <c r="R1085" s="42"/>
      <c r="S1085" s="42"/>
      <c r="T1085" s="169"/>
      <c r="W1085" s="185"/>
    </row>
    <row r="1086" spans="1:23" ht="39" hidden="1" x14ac:dyDescent="0.25">
      <c r="A1086" s="61" t="s">
        <v>59</v>
      </c>
      <c r="B1086" s="51" t="s">
        <v>68</v>
      </c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58"/>
      <c r="R1086" s="42"/>
      <c r="S1086" s="42"/>
      <c r="T1086" s="169"/>
      <c r="W1086" s="185"/>
    </row>
    <row r="1087" spans="1:23" hidden="1" x14ac:dyDescent="0.25">
      <c r="A1087" s="61"/>
      <c r="B1087" s="51" t="s">
        <v>27</v>
      </c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58"/>
      <c r="R1087" s="42"/>
      <c r="S1087" s="42"/>
      <c r="T1087" s="169"/>
      <c r="W1087" s="185"/>
    </row>
    <row r="1088" spans="1:23" hidden="1" x14ac:dyDescent="0.25">
      <c r="A1088" s="61"/>
      <c r="B1088" s="51" t="s">
        <v>28</v>
      </c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58"/>
      <c r="R1088" s="42"/>
      <c r="S1088" s="42"/>
      <c r="T1088" s="169"/>
      <c r="W1088" s="185"/>
    </row>
    <row r="1089" spans="1:23" hidden="1" x14ac:dyDescent="0.25">
      <c r="A1089" s="61"/>
      <c r="B1089" s="51" t="s">
        <v>29</v>
      </c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58"/>
      <c r="R1089" s="42"/>
      <c r="S1089" s="42"/>
      <c r="T1089" s="169"/>
      <c r="W1089" s="185"/>
    </row>
    <row r="1090" spans="1:23" ht="39" hidden="1" x14ac:dyDescent="0.25">
      <c r="A1090" s="61" t="s">
        <v>60</v>
      </c>
      <c r="B1090" s="51" t="s">
        <v>55</v>
      </c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58"/>
      <c r="R1090" s="42"/>
      <c r="S1090" s="42"/>
      <c r="T1090" s="169"/>
      <c r="W1090" s="185"/>
    </row>
    <row r="1091" spans="1:23" hidden="1" x14ac:dyDescent="0.25">
      <c r="A1091" s="61"/>
      <c r="B1091" s="51" t="s">
        <v>27</v>
      </c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58"/>
      <c r="R1091" s="42"/>
      <c r="S1091" s="42"/>
      <c r="T1091" s="169"/>
      <c r="W1091" s="185"/>
    </row>
    <row r="1092" spans="1:23" hidden="1" x14ac:dyDescent="0.25">
      <c r="A1092" s="61"/>
      <c r="B1092" s="51" t="s">
        <v>28</v>
      </c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58"/>
      <c r="R1092" s="42"/>
      <c r="S1092" s="42"/>
      <c r="T1092" s="169"/>
      <c r="W1092" s="185"/>
    </row>
    <row r="1093" spans="1:23" hidden="1" x14ac:dyDescent="0.25">
      <c r="A1093" s="61"/>
      <c r="B1093" s="51" t="s">
        <v>29</v>
      </c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58"/>
      <c r="R1093" s="42"/>
      <c r="S1093" s="42"/>
      <c r="T1093" s="169"/>
      <c r="W1093" s="185"/>
    </row>
    <row r="1094" spans="1:23" ht="45" customHeight="1" x14ac:dyDescent="0.25">
      <c r="A1094" s="61" t="s">
        <v>253</v>
      </c>
      <c r="B1094" s="51" t="s">
        <v>56</v>
      </c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58"/>
      <c r="R1094" s="42"/>
      <c r="S1094" s="42"/>
      <c r="T1094" s="168"/>
      <c r="W1094" s="185"/>
    </row>
    <row r="1095" spans="1:23" x14ac:dyDescent="0.25">
      <c r="A1095" s="61"/>
      <c r="B1095" s="51" t="s">
        <v>287</v>
      </c>
      <c r="C1095" s="42">
        <v>15</v>
      </c>
      <c r="D1095" s="42">
        <v>67698</v>
      </c>
      <c r="E1095" s="42">
        <f>C1095*D1095+17510</f>
        <v>1032980</v>
      </c>
      <c r="F1095" s="42">
        <f t="shared" ref="F1095:F1097" si="448">ROUND(D1095*35.045%,0)</f>
        <v>23725</v>
      </c>
      <c r="G1095" s="42">
        <f>C1095*F1095+6370</f>
        <v>362245</v>
      </c>
      <c r="H1095" s="63">
        <v>17881.599999999999</v>
      </c>
      <c r="I1095" s="63">
        <v>1.7629999999999999</v>
      </c>
      <c r="J1095" s="42">
        <f t="shared" ref="J1095" si="449">H1095*I1095</f>
        <v>31525.260799999996</v>
      </c>
      <c r="K1095" s="42">
        <f>ROUND(C1095*J1095,0)+338</f>
        <v>473217</v>
      </c>
      <c r="L1095" s="42"/>
      <c r="M1095" s="42"/>
      <c r="N1095" s="42"/>
      <c r="O1095" s="42"/>
      <c r="P1095" s="42">
        <f t="shared" ref="P1095:P1097" si="450">D1095+F1095+J1095+N1095</f>
        <v>122948.26079999999</v>
      </c>
      <c r="Q1095" s="58"/>
      <c r="R1095" s="42">
        <f t="shared" ref="R1095:R1158" si="451">E1095+G1095+K1095+O1095</f>
        <v>1868442</v>
      </c>
      <c r="S1095" s="42"/>
      <c r="T1095" s="168"/>
      <c r="W1095" s="185"/>
    </row>
    <row r="1096" spans="1:23" x14ac:dyDescent="0.25">
      <c r="A1096" s="61"/>
      <c r="B1096" s="51" t="s">
        <v>28</v>
      </c>
      <c r="C1096" s="42">
        <v>20</v>
      </c>
      <c r="D1096" s="42">
        <v>50772</v>
      </c>
      <c r="E1096" s="42">
        <f t="shared" ref="E1096:E1097" si="452">C1096*D1096</f>
        <v>1015440</v>
      </c>
      <c r="F1096" s="42">
        <f t="shared" si="448"/>
        <v>17793</v>
      </c>
      <c r="G1096" s="42">
        <f t="shared" ref="G1096:G1097" si="453">C1096*F1096</f>
        <v>355860</v>
      </c>
      <c r="H1096" s="63">
        <v>17881.599999999999</v>
      </c>
      <c r="I1096" s="63">
        <v>1.7629999999999999</v>
      </c>
      <c r="J1096" s="42">
        <f t="shared" ref="J1096:J1097" si="454">H1096*I1096</f>
        <v>31525.260799999996</v>
      </c>
      <c r="K1096" s="42">
        <f t="shared" ref="K1096:K1097" si="455">ROUND(C1096*J1096,0)</f>
        <v>630505</v>
      </c>
      <c r="L1096" s="42"/>
      <c r="M1096" s="42"/>
      <c r="N1096" s="42"/>
      <c r="O1096" s="42"/>
      <c r="P1096" s="42">
        <f t="shared" si="450"/>
        <v>100090.26079999999</v>
      </c>
      <c r="Q1096" s="58"/>
      <c r="R1096" s="42">
        <f t="shared" si="451"/>
        <v>2001805</v>
      </c>
      <c r="S1096" s="42"/>
      <c r="T1096" s="168"/>
      <c r="W1096" s="185"/>
    </row>
    <row r="1097" spans="1:23" x14ac:dyDescent="0.25">
      <c r="A1097" s="61"/>
      <c r="B1097" s="51" t="s">
        <v>289</v>
      </c>
      <c r="C1097" s="42">
        <v>15</v>
      </c>
      <c r="D1097" s="42">
        <v>50772</v>
      </c>
      <c r="E1097" s="42">
        <f t="shared" si="452"/>
        <v>761580</v>
      </c>
      <c r="F1097" s="42">
        <f t="shared" si="448"/>
        <v>17793</v>
      </c>
      <c r="G1097" s="42">
        <f t="shared" si="453"/>
        <v>266895</v>
      </c>
      <c r="H1097" s="63">
        <v>17881.599999999999</v>
      </c>
      <c r="I1097" s="63">
        <v>1.7629999999999999</v>
      </c>
      <c r="J1097" s="42">
        <f t="shared" si="454"/>
        <v>31525.260799999996</v>
      </c>
      <c r="K1097" s="42">
        <f t="shared" si="455"/>
        <v>472879</v>
      </c>
      <c r="L1097" s="42"/>
      <c r="M1097" s="42"/>
      <c r="N1097" s="42"/>
      <c r="O1097" s="42"/>
      <c r="P1097" s="42">
        <f t="shared" si="450"/>
        <v>100090.26079999999</v>
      </c>
      <c r="Q1097" s="58"/>
      <c r="R1097" s="42">
        <f t="shared" si="451"/>
        <v>1501354</v>
      </c>
      <c r="S1097" s="42"/>
      <c r="T1097" s="168"/>
      <c r="W1097" s="185"/>
    </row>
    <row r="1098" spans="1:23" ht="51.75" hidden="1" x14ac:dyDescent="0.25">
      <c r="A1098" s="61" t="s">
        <v>62</v>
      </c>
      <c r="B1098" s="51" t="s">
        <v>57</v>
      </c>
      <c r="C1098" s="42"/>
      <c r="D1098" s="42"/>
      <c r="E1098" s="42"/>
      <c r="F1098" s="42"/>
      <c r="G1098" s="42"/>
      <c r="H1098" s="42"/>
      <c r="I1098" s="63">
        <v>1.8720000000000001</v>
      </c>
      <c r="J1098" s="42"/>
      <c r="K1098" s="42"/>
      <c r="L1098" s="42"/>
      <c r="M1098" s="42"/>
      <c r="N1098" s="42"/>
      <c r="O1098" s="42"/>
      <c r="P1098" s="42"/>
      <c r="Q1098" s="58"/>
      <c r="R1098" s="42">
        <f t="shared" si="451"/>
        <v>0</v>
      </c>
      <c r="S1098" s="42"/>
      <c r="T1098" s="168"/>
      <c r="W1098" s="185"/>
    </row>
    <row r="1099" spans="1:23" hidden="1" x14ac:dyDescent="0.25">
      <c r="A1099" s="61"/>
      <c r="B1099" s="51" t="s">
        <v>27</v>
      </c>
      <c r="C1099" s="42"/>
      <c r="D1099" s="42"/>
      <c r="E1099" s="42"/>
      <c r="F1099" s="42"/>
      <c r="G1099" s="42"/>
      <c r="H1099" s="42"/>
      <c r="I1099" s="63">
        <v>1.8720000000000001</v>
      </c>
      <c r="J1099" s="42"/>
      <c r="K1099" s="42"/>
      <c r="L1099" s="42"/>
      <c r="M1099" s="42"/>
      <c r="N1099" s="42"/>
      <c r="O1099" s="42"/>
      <c r="P1099" s="42"/>
      <c r="Q1099" s="58"/>
      <c r="R1099" s="42">
        <f t="shared" si="451"/>
        <v>0</v>
      </c>
      <c r="S1099" s="42"/>
      <c r="T1099" s="168"/>
      <c r="W1099" s="185"/>
    </row>
    <row r="1100" spans="1:23" hidden="1" x14ac:dyDescent="0.25">
      <c r="A1100" s="61"/>
      <c r="B1100" s="51" t="s">
        <v>28</v>
      </c>
      <c r="C1100" s="42"/>
      <c r="D1100" s="42"/>
      <c r="E1100" s="42"/>
      <c r="F1100" s="42"/>
      <c r="G1100" s="42"/>
      <c r="H1100" s="42"/>
      <c r="I1100" s="63">
        <v>1.8720000000000001</v>
      </c>
      <c r="J1100" s="42"/>
      <c r="K1100" s="42"/>
      <c r="L1100" s="42"/>
      <c r="M1100" s="42"/>
      <c r="N1100" s="42"/>
      <c r="O1100" s="42"/>
      <c r="P1100" s="42"/>
      <c r="Q1100" s="58"/>
      <c r="R1100" s="42">
        <f t="shared" si="451"/>
        <v>0</v>
      </c>
      <c r="S1100" s="42"/>
      <c r="T1100" s="168"/>
      <c r="W1100" s="185"/>
    </row>
    <row r="1101" spans="1:23" hidden="1" x14ac:dyDescent="0.25">
      <c r="A1101" s="61"/>
      <c r="B1101" s="51" t="s">
        <v>29</v>
      </c>
      <c r="C1101" s="42"/>
      <c r="D1101" s="42"/>
      <c r="E1101" s="42"/>
      <c r="F1101" s="42"/>
      <c r="G1101" s="42"/>
      <c r="H1101" s="42"/>
      <c r="I1101" s="63">
        <v>1.8720000000000001</v>
      </c>
      <c r="J1101" s="42"/>
      <c r="K1101" s="42"/>
      <c r="L1101" s="42"/>
      <c r="M1101" s="42"/>
      <c r="N1101" s="42"/>
      <c r="O1101" s="42"/>
      <c r="P1101" s="42"/>
      <c r="Q1101" s="58"/>
      <c r="R1101" s="42">
        <f t="shared" si="451"/>
        <v>0</v>
      </c>
      <c r="S1101" s="42"/>
      <c r="T1101" s="168"/>
      <c r="W1101" s="185"/>
    </row>
    <row r="1102" spans="1:23" ht="51.75" hidden="1" x14ac:dyDescent="0.25">
      <c r="A1102" s="61" t="s">
        <v>63</v>
      </c>
      <c r="B1102" s="51" t="s">
        <v>58</v>
      </c>
      <c r="C1102" s="42"/>
      <c r="D1102" s="42"/>
      <c r="E1102" s="42"/>
      <c r="F1102" s="42"/>
      <c r="G1102" s="42"/>
      <c r="H1102" s="42"/>
      <c r="I1102" s="63">
        <v>1.8720000000000001</v>
      </c>
      <c r="J1102" s="42"/>
      <c r="K1102" s="42"/>
      <c r="L1102" s="42"/>
      <c r="M1102" s="42"/>
      <c r="N1102" s="42"/>
      <c r="O1102" s="42"/>
      <c r="P1102" s="42"/>
      <c r="Q1102" s="58"/>
      <c r="R1102" s="42">
        <f t="shared" si="451"/>
        <v>0</v>
      </c>
      <c r="S1102" s="42"/>
      <c r="T1102" s="168"/>
      <c r="W1102" s="185"/>
    </row>
    <row r="1103" spans="1:23" hidden="1" x14ac:dyDescent="0.25">
      <c r="A1103" s="61"/>
      <c r="B1103" s="51" t="s">
        <v>27</v>
      </c>
      <c r="C1103" s="42"/>
      <c r="D1103" s="42"/>
      <c r="E1103" s="42"/>
      <c r="F1103" s="42"/>
      <c r="G1103" s="42"/>
      <c r="H1103" s="42"/>
      <c r="I1103" s="63">
        <v>1.8720000000000001</v>
      </c>
      <c r="J1103" s="42"/>
      <c r="K1103" s="42"/>
      <c r="L1103" s="42"/>
      <c r="M1103" s="42"/>
      <c r="N1103" s="42"/>
      <c r="O1103" s="42"/>
      <c r="P1103" s="42"/>
      <c r="Q1103" s="58"/>
      <c r="R1103" s="42">
        <f t="shared" si="451"/>
        <v>0</v>
      </c>
      <c r="S1103" s="42"/>
      <c r="T1103" s="168"/>
      <c r="W1103" s="185"/>
    </row>
    <row r="1104" spans="1:23" hidden="1" x14ac:dyDescent="0.25">
      <c r="A1104" s="61"/>
      <c r="B1104" s="51" t="s">
        <v>28</v>
      </c>
      <c r="C1104" s="42"/>
      <c r="D1104" s="42"/>
      <c r="E1104" s="42"/>
      <c r="F1104" s="42"/>
      <c r="G1104" s="42"/>
      <c r="H1104" s="42"/>
      <c r="I1104" s="63">
        <v>1.8720000000000001</v>
      </c>
      <c r="J1104" s="42"/>
      <c r="K1104" s="42"/>
      <c r="L1104" s="42"/>
      <c r="M1104" s="42"/>
      <c r="N1104" s="42"/>
      <c r="O1104" s="42"/>
      <c r="P1104" s="42"/>
      <c r="Q1104" s="58"/>
      <c r="R1104" s="42">
        <f t="shared" si="451"/>
        <v>0</v>
      </c>
      <c r="S1104" s="42"/>
      <c r="T1104" s="168"/>
      <c r="W1104" s="185"/>
    </row>
    <row r="1105" spans="1:23" hidden="1" x14ac:dyDescent="0.25">
      <c r="A1105" s="61"/>
      <c r="B1105" s="51" t="s">
        <v>29</v>
      </c>
      <c r="C1105" s="42"/>
      <c r="D1105" s="42"/>
      <c r="E1105" s="42"/>
      <c r="F1105" s="42"/>
      <c r="G1105" s="42"/>
      <c r="H1105" s="42"/>
      <c r="I1105" s="63">
        <v>1.8720000000000001</v>
      </c>
      <c r="J1105" s="42"/>
      <c r="K1105" s="42"/>
      <c r="L1105" s="42"/>
      <c r="M1105" s="42"/>
      <c r="N1105" s="42"/>
      <c r="O1105" s="42"/>
      <c r="P1105" s="42"/>
      <c r="Q1105" s="58"/>
      <c r="R1105" s="42">
        <f t="shared" si="451"/>
        <v>0</v>
      </c>
      <c r="S1105" s="42"/>
      <c r="T1105" s="168"/>
      <c r="W1105" s="185"/>
    </row>
    <row r="1106" spans="1:23" ht="39" hidden="1" x14ac:dyDescent="0.25">
      <c r="A1106" s="61" t="s">
        <v>64</v>
      </c>
      <c r="B1106" s="51" t="s">
        <v>30</v>
      </c>
      <c r="C1106" s="42"/>
      <c r="D1106" s="42"/>
      <c r="E1106" s="42"/>
      <c r="F1106" s="42"/>
      <c r="G1106" s="42"/>
      <c r="H1106" s="42"/>
      <c r="I1106" s="63">
        <v>1.8720000000000001</v>
      </c>
      <c r="J1106" s="42"/>
      <c r="K1106" s="42"/>
      <c r="L1106" s="42"/>
      <c r="M1106" s="42"/>
      <c r="N1106" s="42"/>
      <c r="O1106" s="42"/>
      <c r="P1106" s="42"/>
      <c r="Q1106" s="58"/>
      <c r="R1106" s="42">
        <f t="shared" si="451"/>
        <v>0</v>
      </c>
      <c r="S1106" s="42"/>
      <c r="T1106" s="168"/>
      <c r="W1106" s="185"/>
    </row>
    <row r="1107" spans="1:23" hidden="1" x14ac:dyDescent="0.25">
      <c r="A1107" s="61"/>
      <c r="B1107" s="51" t="s">
        <v>27</v>
      </c>
      <c r="C1107" s="42"/>
      <c r="D1107" s="42"/>
      <c r="E1107" s="42"/>
      <c r="F1107" s="42"/>
      <c r="G1107" s="42"/>
      <c r="H1107" s="42"/>
      <c r="I1107" s="63">
        <v>1.8720000000000001</v>
      </c>
      <c r="J1107" s="42"/>
      <c r="K1107" s="42"/>
      <c r="L1107" s="42"/>
      <c r="M1107" s="42"/>
      <c r="N1107" s="42"/>
      <c r="O1107" s="42"/>
      <c r="P1107" s="42"/>
      <c r="Q1107" s="58"/>
      <c r="R1107" s="42">
        <f t="shared" si="451"/>
        <v>0</v>
      </c>
      <c r="S1107" s="42"/>
      <c r="T1107" s="168"/>
      <c r="W1107" s="185"/>
    </row>
    <row r="1108" spans="1:23" hidden="1" x14ac:dyDescent="0.25">
      <c r="A1108" s="61"/>
      <c r="B1108" s="51" t="s">
        <v>28</v>
      </c>
      <c r="C1108" s="42"/>
      <c r="D1108" s="42"/>
      <c r="E1108" s="42"/>
      <c r="F1108" s="42"/>
      <c r="G1108" s="42"/>
      <c r="H1108" s="42"/>
      <c r="I1108" s="63">
        <v>1.8720000000000001</v>
      </c>
      <c r="J1108" s="42"/>
      <c r="K1108" s="42"/>
      <c r="L1108" s="42"/>
      <c r="M1108" s="42"/>
      <c r="N1108" s="42"/>
      <c r="O1108" s="42"/>
      <c r="P1108" s="42"/>
      <c r="Q1108" s="58"/>
      <c r="R1108" s="42">
        <f t="shared" si="451"/>
        <v>0</v>
      </c>
      <c r="S1108" s="42"/>
      <c r="T1108" s="168"/>
      <c r="W1108" s="185"/>
    </row>
    <row r="1109" spans="1:23" hidden="1" x14ac:dyDescent="0.25">
      <c r="A1109" s="61"/>
      <c r="B1109" s="51" t="s">
        <v>29</v>
      </c>
      <c r="C1109" s="42"/>
      <c r="D1109" s="42"/>
      <c r="E1109" s="42"/>
      <c r="F1109" s="42"/>
      <c r="G1109" s="42"/>
      <c r="H1109" s="42"/>
      <c r="I1109" s="63">
        <v>1.8720000000000001</v>
      </c>
      <c r="J1109" s="42"/>
      <c r="K1109" s="42"/>
      <c r="L1109" s="42"/>
      <c r="M1109" s="42"/>
      <c r="N1109" s="42"/>
      <c r="O1109" s="42"/>
      <c r="P1109" s="42"/>
      <c r="Q1109" s="58"/>
      <c r="R1109" s="42">
        <f t="shared" si="451"/>
        <v>0</v>
      </c>
      <c r="S1109" s="42"/>
      <c r="T1109" s="168"/>
      <c r="W1109" s="185"/>
    </row>
    <row r="1110" spans="1:23" ht="39" hidden="1" x14ac:dyDescent="0.25">
      <c r="A1110" s="61"/>
      <c r="B1110" s="51" t="s">
        <v>9</v>
      </c>
      <c r="C1110" s="42"/>
      <c r="D1110" s="42"/>
      <c r="E1110" s="42"/>
      <c r="F1110" s="42"/>
      <c r="G1110" s="42"/>
      <c r="H1110" s="42"/>
      <c r="I1110" s="63">
        <v>1.8720000000000001</v>
      </c>
      <c r="J1110" s="42"/>
      <c r="K1110" s="42"/>
      <c r="L1110" s="42"/>
      <c r="M1110" s="42"/>
      <c r="N1110" s="42"/>
      <c r="O1110" s="42"/>
      <c r="P1110" s="42"/>
      <c r="Q1110" s="58"/>
      <c r="R1110" s="42">
        <f t="shared" si="451"/>
        <v>0</v>
      </c>
      <c r="S1110" s="42"/>
      <c r="T1110" s="168"/>
      <c r="W1110" s="185"/>
    </row>
    <row r="1111" spans="1:23" ht="39" hidden="1" x14ac:dyDescent="0.25">
      <c r="A1111" s="61"/>
      <c r="B1111" s="51" t="s">
        <v>11</v>
      </c>
      <c r="C1111" s="42"/>
      <c r="D1111" s="42"/>
      <c r="E1111" s="42"/>
      <c r="F1111" s="42"/>
      <c r="G1111" s="42"/>
      <c r="H1111" s="42"/>
      <c r="I1111" s="63">
        <v>1.8720000000000001</v>
      </c>
      <c r="J1111" s="42"/>
      <c r="K1111" s="42"/>
      <c r="L1111" s="42"/>
      <c r="M1111" s="42"/>
      <c r="N1111" s="42"/>
      <c r="O1111" s="42"/>
      <c r="P1111" s="42"/>
      <c r="Q1111" s="58"/>
      <c r="R1111" s="42">
        <f t="shared" si="451"/>
        <v>0</v>
      </c>
      <c r="S1111" s="42"/>
      <c r="T1111" s="168"/>
      <c r="W1111" s="185"/>
    </row>
    <row r="1112" spans="1:23" hidden="1" x14ac:dyDescent="0.25">
      <c r="A1112" s="61"/>
      <c r="B1112" s="51" t="s">
        <v>13</v>
      </c>
      <c r="C1112" s="42"/>
      <c r="D1112" s="42"/>
      <c r="E1112" s="42"/>
      <c r="F1112" s="42"/>
      <c r="G1112" s="42"/>
      <c r="H1112" s="42"/>
      <c r="I1112" s="63">
        <v>1.8720000000000001</v>
      </c>
      <c r="J1112" s="42"/>
      <c r="K1112" s="42"/>
      <c r="L1112" s="42"/>
      <c r="M1112" s="42"/>
      <c r="N1112" s="42"/>
      <c r="O1112" s="42"/>
      <c r="P1112" s="42"/>
      <c r="Q1112" s="58"/>
      <c r="R1112" s="42">
        <f t="shared" si="451"/>
        <v>0</v>
      </c>
      <c r="S1112" s="42"/>
      <c r="T1112" s="168"/>
      <c r="W1112" s="185"/>
    </row>
    <row r="1113" spans="1:23" hidden="1" x14ac:dyDescent="0.25">
      <c r="A1113" s="61"/>
      <c r="B1113" s="61" t="s">
        <v>14</v>
      </c>
      <c r="C1113" s="42"/>
      <c r="D1113" s="42"/>
      <c r="E1113" s="42"/>
      <c r="F1113" s="42"/>
      <c r="G1113" s="42"/>
      <c r="H1113" s="42"/>
      <c r="I1113" s="63">
        <v>1.8720000000000001</v>
      </c>
      <c r="J1113" s="42"/>
      <c r="K1113" s="42"/>
      <c r="L1113" s="42"/>
      <c r="M1113" s="42"/>
      <c r="N1113" s="42"/>
      <c r="O1113" s="42"/>
      <c r="P1113" s="42"/>
      <c r="Q1113" s="58"/>
      <c r="R1113" s="42">
        <f t="shared" si="451"/>
        <v>0</v>
      </c>
      <c r="S1113" s="42"/>
      <c r="T1113" s="168"/>
      <c r="W1113" s="185"/>
    </row>
    <row r="1114" spans="1:23" hidden="1" x14ac:dyDescent="0.25">
      <c r="A1114" s="61"/>
      <c r="B1114" s="61" t="s">
        <v>17</v>
      </c>
      <c r="C1114" s="42"/>
      <c r="D1114" s="42"/>
      <c r="E1114" s="42"/>
      <c r="F1114" s="42"/>
      <c r="G1114" s="42"/>
      <c r="H1114" s="42"/>
      <c r="I1114" s="63">
        <v>1.8720000000000001</v>
      </c>
      <c r="J1114" s="42"/>
      <c r="K1114" s="42"/>
      <c r="L1114" s="42"/>
      <c r="M1114" s="42"/>
      <c r="N1114" s="42"/>
      <c r="O1114" s="42"/>
      <c r="P1114" s="42"/>
      <c r="Q1114" s="58"/>
      <c r="R1114" s="42">
        <f t="shared" si="451"/>
        <v>0</v>
      </c>
      <c r="S1114" s="42"/>
      <c r="T1114" s="168"/>
      <c r="W1114" s="185"/>
    </row>
    <row r="1115" spans="1:23" hidden="1" x14ac:dyDescent="0.25">
      <c r="A1115" s="61"/>
      <c r="B1115" s="61" t="s">
        <v>14</v>
      </c>
      <c r="C1115" s="42"/>
      <c r="D1115" s="42"/>
      <c r="E1115" s="42"/>
      <c r="F1115" s="42"/>
      <c r="G1115" s="42"/>
      <c r="H1115" s="42"/>
      <c r="I1115" s="63">
        <v>1.8720000000000001</v>
      </c>
      <c r="J1115" s="42"/>
      <c r="K1115" s="42"/>
      <c r="L1115" s="42"/>
      <c r="M1115" s="42"/>
      <c r="N1115" s="42"/>
      <c r="O1115" s="42"/>
      <c r="P1115" s="42"/>
      <c r="Q1115" s="58"/>
      <c r="R1115" s="42">
        <f t="shared" si="451"/>
        <v>0</v>
      </c>
      <c r="S1115" s="42"/>
      <c r="T1115" s="168"/>
      <c r="W1115" s="185"/>
    </row>
    <row r="1116" spans="1:23" hidden="1" x14ac:dyDescent="0.25">
      <c r="A1116" s="65"/>
      <c r="B1116" s="51" t="s">
        <v>13</v>
      </c>
      <c r="C1116" s="42"/>
      <c r="D1116" s="42"/>
      <c r="E1116" s="42"/>
      <c r="F1116" s="42"/>
      <c r="G1116" s="42"/>
      <c r="H1116" s="42"/>
      <c r="I1116" s="63">
        <v>1.8720000000000001</v>
      </c>
      <c r="J1116" s="42"/>
      <c r="K1116" s="42"/>
      <c r="L1116" s="42"/>
      <c r="M1116" s="42"/>
      <c r="N1116" s="42"/>
      <c r="O1116" s="42"/>
      <c r="P1116" s="42"/>
      <c r="Q1116" s="58"/>
      <c r="R1116" s="42">
        <f t="shared" si="451"/>
        <v>0</v>
      </c>
      <c r="S1116" s="42"/>
      <c r="T1116" s="168"/>
      <c r="W1116" s="185"/>
    </row>
    <row r="1117" spans="1:23" s="60" customFormat="1" hidden="1" x14ac:dyDescent="0.25">
      <c r="A1117" s="56"/>
      <c r="B1117" s="51" t="s">
        <v>27</v>
      </c>
      <c r="C1117" s="58"/>
      <c r="D1117" s="58"/>
      <c r="E1117" s="58"/>
      <c r="F1117" s="42"/>
      <c r="G1117" s="58"/>
      <c r="H1117" s="58"/>
      <c r="I1117" s="63">
        <v>1.8720000000000001</v>
      </c>
      <c r="J1117" s="58"/>
      <c r="K1117" s="42"/>
      <c r="L1117" s="58"/>
      <c r="M1117" s="42"/>
      <c r="N1117" s="58"/>
      <c r="O1117" s="42"/>
      <c r="P1117" s="42"/>
      <c r="Q1117" s="58"/>
      <c r="R1117" s="42">
        <f t="shared" si="451"/>
        <v>0</v>
      </c>
      <c r="S1117" s="58"/>
      <c r="T1117" s="168"/>
      <c r="U1117" s="68"/>
      <c r="V1117" s="66"/>
      <c r="W1117" s="186"/>
    </row>
    <row r="1118" spans="1:23" hidden="1" x14ac:dyDescent="0.25">
      <c r="A1118" s="61"/>
      <c r="B1118" s="51" t="s">
        <v>28</v>
      </c>
      <c r="C1118" s="42"/>
      <c r="D1118" s="42"/>
      <c r="E1118" s="42"/>
      <c r="F1118" s="42"/>
      <c r="G1118" s="42"/>
      <c r="H1118" s="42"/>
      <c r="I1118" s="63">
        <v>1.8720000000000001</v>
      </c>
      <c r="J1118" s="42"/>
      <c r="K1118" s="42"/>
      <c r="L1118" s="42"/>
      <c r="M1118" s="42"/>
      <c r="N1118" s="42"/>
      <c r="O1118" s="42"/>
      <c r="P1118" s="42"/>
      <c r="Q1118" s="58"/>
      <c r="R1118" s="42">
        <f t="shared" si="451"/>
        <v>0</v>
      </c>
      <c r="S1118" s="42"/>
      <c r="T1118" s="168"/>
      <c r="W1118" s="185"/>
    </row>
    <row r="1119" spans="1:23" hidden="1" x14ac:dyDescent="0.25">
      <c r="A1119" s="61"/>
      <c r="B1119" s="51" t="s">
        <v>29</v>
      </c>
      <c r="C1119" s="42"/>
      <c r="D1119" s="42"/>
      <c r="E1119" s="42"/>
      <c r="F1119" s="42"/>
      <c r="G1119" s="42"/>
      <c r="H1119" s="42"/>
      <c r="I1119" s="63">
        <v>1.8720000000000001</v>
      </c>
      <c r="J1119" s="42"/>
      <c r="K1119" s="42"/>
      <c r="L1119" s="42"/>
      <c r="M1119" s="42"/>
      <c r="N1119" s="42"/>
      <c r="O1119" s="42"/>
      <c r="P1119" s="42"/>
      <c r="Q1119" s="58"/>
      <c r="R1119" s="42">
        <f t="shared" si="451"/>
        <v>0</v>
      </c>
      <c r="S1119" s="42"/>
      <c r="T1119" s="168"/>
      <c r="W1119" s="185"/>
    </row>
    <row r="1120" spans="1:23" hidden="1" x14ac:dyDescent="0.25">
      <c r="B1120" s="8"/>
      <c r="C1120" s="49"/>
      <c r="D1120" s="49"/>
      <c r="E1120" s="49"/>
      <c r="F1120" s="49"/>
      <c r="G1120" s="49"/>
      <c r="H1120" s="49"/>
      <c r="I1120" s="63">
        <v>1.8720000000000001</v>
      </c>
      <c r="J1120" s="49"/>
      <c r="K1120" s="42"/>
      <c r="L1120" s="49"/>
      <c r="M1120" s="42"/>
      <c r="N1120" s="49"/>
      <c r="O1120" s="42"/>
      <c r="P1120" s="42"/>
      <c r="Q1120" s="58"/>
      <c r="R1120" s="42">
        <f t="shared" si="451"/>
        <v>0</v>
      </c>
      <c r="S1120" s="49"/>
      <c r="T1120" s="168"/>
      <c r="W1120" s="185"/>
    </row>
    <row r="1121" spans="1:23" s="60" customFormat="1" hidden="1" x14ac:dyDescent="0.25">
      <c r="A1121" s="56">
        <v>2</v>
      </c>
      <c r="B1121" s="8" t="s">
        <v>236</v>
      </c>
      <c r="C1121" s="58"/>
      <c r="D1121" s="58"/>
      <c r="E1121" s="58"/>
      <c r="F1121" s="58"/>
      <c r="G1121" s="58"/>
      <c r="H1121" s="58"/>
      <c r="I1121" s="63">
        <v>1.8720000000000001</v>
      </c>
      <c r="J1121" s="58"/>
      <c r="K1121" s="42"/>
      <c r="L1121" s="58"/>
      <c r="M1121" s="42"/>
      <c r="N1121" s="58"/>
      <c r="O1121" s="42"/>
      <c r="P1121" s="42"/>
      <c r="Q1121" s="58"/>
      <c r="R1121" s="42">
        <f t="shared" si="451"/>
        <v>0</v>
      </c>
      <c r="S1121" s="58"/>
      <c r="T1121" s="168"/>
      <c r="U1121" s="68"/>
      <c r="V1121" s="66"/>
      <c r="W1121" s="186"/>
    </row>
    <row r="1122" spans="1:23" ht="39" hidden="1" x14ac:dyDescent="0.25">
      <c r="A1122" s="61" t="s">
        <v>15</v>
      </c>
      <c r="B1122" s="51" t="s">
        <v>54</v>
      </c>
      <c r="C1122" s="42"/>
      <c r="D1122" s="42"/>
      <c r="E1122" s="42"/>
      <c r="F1122" s="42"/>
      <c r="G1122" s="42"/>
      <c r="H1122" s="42"/>
      <c r="I1122" s="63">
        <v>1.8720000000000001</v>
      </c>
      <c r="J1122" s="42"/>
      <c r="K1122" s="42"/>
      <c r="L1122" s="42"/>
      <c r="M1122" s="42"/>
      <c r="N1122" s="42"/>
      <c r="O1122" s="42"/>
      <c r="P1122" s="42"/>
      <c r="Q1122" s="58"/>
      <c r="R1122" s="42">
        <f t="shared" si="451"/>
        <v>0</v>
      </c>
      <c r="S1122" s="42"/>
      <c r="T1122" s="169"/>
      <c r="W1122" s="185"/>
    </row>
    <row r="1123" spans="1:23" hidden="1" x14ac:dyDescent="0.25">
      <c r="A1123" s="61"/>
      <c r="B1123" s="51" t="s">
        <v>27</v>
      </c>
      <c r="C1123" s="42"/>
      <c r="D1123" s="42"/>
      <c r="E1123" s="42"/>
      <c r="F1123" s="42"/>
      <c r="G1123" s="42"/>
      <c r="H1123" s="42"/>
      <c r="I1123" s="63">
        <v>1.8720000000000001</v>
      </c>
      <c r="J1123" s="42"/>
      <c r="K1123" s="42"/>
      <c r="L1123" s="42"/>
      <c r="M1123" s="42"/>
      <c r="N1123" s="42"/>
      <c r="O1123" s="42"/>
      <c r="P1123" s="42"/>
      <c r="Q1123" s="58"/>
      <c r="R1123" s="42">
        <f t="shared" si="451"/>
        <v>0</v>
      </c>
      <c r="S1123" s="42"/>
      <c r="T1123" s="169"/>
      <c r="W1123" s="185"/>
    </row>
    <row r="1124" spans="1:23" hidden="1" x14ac:dyDescent="0.25">
      <c r="A1124" s="61"/>
      <c r="B1124" s="51" t="s">
        <v>28</v>
      </c>
      <c r="C1124" s="42"/>
      <c r="D1124" s="42"/>
      <c r="E1124" s="42"/>
      <c r="F1124" s="42"/>
      <c r="G1124" s="42"/>
      <c r="H1124" s="42"/>
      <c r="I1124" s="63">
        <v>1.8720000000000001</v>
      </c>
      <c r="J1124" s="42"/>
      <c r="K1124" s="42"/>
      <c r="L1124" s="42"/>
      <c r="M1124" s="42"/>
      <c r="N1124" s="42"/>
      <c r="O1124" s="42"/>
      <c r="P1124" s="42"/>
      <c r="Q1124" s="58"/>
      <c r="R1124" s="42">
        <f t="shared" si="451"/>
        <v>0</v>
      </c>
      <c r="S1124" s="42"/>
      <c r="T1124" s="169"/>
      <c r="W1124" s="185"/>
    </row>
    <row r="1125" spans="1:23" hidden="1" x14ac:dyDescent="0.25">
      <c r="A1125" s="61"/>
      <c r="B1125" s="51" t="s">
        <v>29</v>
      </c>
      <c r="C1125" s="42"/>
      <c r="D1125" s="42"/>
      <c r="E1125" s="42"/>
      <c r="F1125" s="42"/>
      <c r="G1125" s="42"/>
      <c r="H1125" s="42"/>
      <c r="I1125" s="63">
        <v>1.8720000000000001</v>
      </c>
      <c r="J1125" s="42"/>
      <c r="K1125" s="42"/>
      <c r="L1125" s="42"/>
      <c r="M1125" s="42"/>
      <c r="N1125" s="42"/>
      <c r="O1125" s="42"/>
      <c r="P1125" s="42"/>
      <c r="Q1125" s="58"/>
      <c r="R1125" s="42">
        <f t="shared" si="451"/>
        <v>0</v>
      </c>
      <c r="S1125" s="42"/>
      <c r="T1125" s="169"/>
      <c r="W1125" s="185"/>
    </row>
    <row r="1126" spans="1:23" ht="39" hidden="1" x14ac:dyDescent="0.25">
      <c r="A1126" s="61" t="s">
        <v>59</v>
      </c>
      <c r="B1126" s="51" t="s">
        <v>68</v>
      </c>
      <c r="C1126" s="42"/>
      <c r="D1126" s="42"/>
      <c r="E1126" s="42"/>
      <c r="F1126" s="42"/>
      <c r="G1126" s="42"/>
      <c r="H1126" s="42"/>
      <c r="I1126" s="63">
        <v>1.8720000000000001</v>
      </c>
      <c r="J1126" s="42"/>
      <c r="K1126" s="42"/>
      <c r="L1126" s="42"/>
      <c r="M1126" s="42"/>
      <c r="N1126" s="42"/>
      <c r="O1126" s="42"/>
      <c r="P1126" s="42"/>
      <c r="Q1126" s="58"/>
      <c r="R1126" s="42">
        <f t="shared" si="451"/>
        <v>0</v>
      </c>
      <c r="S1126" s="42"/>
      <c r="T1126" s="169"/>
      <c r="W1126" s="185"/>
    </row>
    <row r="1127" spans="1:23" hidden="1" x14ac:dyDescent="0.25">
      <c r="A1127" s="61"/>
      <c r="B1127" s="51" t="s">
        <v>27</v>
      </c>
      <c r="C1127" s="42"/>
      <c r="D1127" s="42"/>
      <c r="E1127" s="42"/>
      <c r="F1127" s="42"/>
      <c r="G1127" s="42"/>
      <c r="H1127" s="42"/>
      <c r="I1127" s="63">
        <v>1.8720000000000001</v>
      </c>
      <c r="J1127" s="42"/>
      <c r="K1127" s="42"/>
      <c r="L1127" s="42"/>
      <c r="M1127" s="42"/>
      <c r="N1127" s="42"/>
      <c r="O1127" s="42"/>
      <c r="P1127" s="42"/>
      <c r="Q1127" s="58"/>
      <c r="R1127" s="42">
        <f t="shared" si="451"/>
        <v>0</v>
      </c>
      <c r="S1127" s="42"/>
      <c r="T1127" s="169"/>
      <c r="W1127" s="185"/>
    </row>
    <row r="1128" spans="1:23" hidden="1" x14ac:dyDescent="0.25">
      <c r="A1128" s="61"/>
      <c r="B1128" s="51" t="s">
        <v>28</v>
      </c>
      <c r="C1128" s="42"/>
      <c r="D1128" s="42"/>
      <c r="E1128" s="42"/>
      <c r="F1128" s="42"/>
      <c r="G1128" s="42"/>
      <c r="H1128" s="42"/>
      <c r="I1128" s="63">
        <v>1.8720000000000001</v>
      </c>
      <c r="J1128" s="42"/>
      <c r="K1128" s="42"/>
      <c r="L1128" s="42"/>
      <c r="M1128" s="42"/>
      <c r="N1128" s="42"/>
      <c r="O1128" s="42"/>
      <c r="P1128" s="42"/>
      <c r="Q1128" s="58"/>
      <c r="R1128" s="42">
        <f t="shared" si="451"/>
        <v>0</v>
      </c>
      <c r="S1128" s="42"/>
      <c r="T1128" s="169"/>
      <c r="W1128" s="185"/>
    </row>
    <row r="1129" spans="1:23" hidden="1" x14ac:dyDescent="0.25">
      <c r="A1129" s="61"/>
      <c r="B1129" s="51" t="s">
        <v>29</v>
      </c>
      <c r="C1129" s="42"/>
      <c r="D1129" s="42"/>
      <c r="E1129" s="42"/>
      <c r="F1129" s="42"/>
      <c r="G1129" s="42"/>
      <c r="H1129" s="42"/>
      <c r="I1129" s="63">
        <v>1.8720000000000001</v>
      </c>
      <c r="J1129" s="42"/>
      <c r="K1129" s="42"/>
      <c r="L1129" s="42"/>
      <c r="M1129" s="42"/>
      <c r="N1129" s="42"/>
      <c r="O1129" s="42"/>
      <c r="P1129" s="42"/>
      <c r="Q1129" s="58"/>
      <c r="R1129" s="42">
        <f t="shared" si="451"/>
        <v>0</v>
      </c>
      <c r="S1129" s="42"/>
      <c r="T1129" s="169"/>
      <c r="W1129" s="185"/>
    </row>
    <row r="1130" spans="1:23" ht="39" hidden="1" x14ac:dyDescent="0.25">
      <c r="A1130" s="61" t="s">
        <v>60</v>
      </c>
      <c r="B1130" s="51" t="s">
        <v>55</v>
      </c>
      <c r="C1130" s="42"/>
      <c r="D1130" s="42"/>
      <c r="E1130" s="42"/>
      <c r="F1130" s="42"/>
      <c r="G1130" s="42"/>
      <c r="H1130" s="42"/>
      <c r="I1130" s="63">
        <v>1.8720000000000001</v>
      </c>
      <c r="J1130" s="42"/>
      <c r="K1130" s="42"/>
      <c r="L1130" s="42"/>
      <c r="M1130" s="42"/>
      <c r="N1130" s="42"/>
      <c r="O1130" s="42"/>
      <c r="P1130" s="42"/>
      <c r="Q1130" s="58"/>
      <c r="R1130" s="42">
        <f t="shared" si="451"/>
        <v>0</v>
      </c>
      <c r="S1130" s="42"/>
      <c r="T1130" s="169"/>
      <c r="W1130" s="185"/>
    </row>
    <row r="1131" spans="1:23" hidden="1" x14ac:dyDescent="0.25">
      <c r="A1131" s="61"/>
      <c r="B1131" s="51" t="s">
        <v>27</v>
      </c>
      <c r="C1131" s="42"/>
      <c r="D1131" s="42"/>
      <c r="E1131" s="42"/>
      <c r="F1131" s="42"/>
      <c r="G1131" s="42"/>
      <c r="H1131" s="42"/>
      <c r="I1131" s="63">
        <v>1.8720000000000001</v>
      </c>
      <c r="J1131" s="42"/>
      <c r="K1131" s="42"/>
      <c r="L1131" s="42"/>
      <c r="M1131" s="42"/>
      <c r="N1131" s="42"/>
      <c r="O1131" s="42"/>
      <c r="P1131" s="42"/>
      <c r="Q1131" s="58"/>
      <c r="R1131" s="42">
        <f t="shared" si="451"/>
        <v>0</v>
      </c>
      <c r="S1131" s="42"/>
      <c r="T1131" s="169"/>
      <c r="W1131" s="185"/>
    </row>
    <row r="1132" spans="1:23" hidden="1" x14ac:dyDescent="0.25">
      <c r="A1132" s="61"/>
      <c r="B1132" s="51" t="s">
        <v>28</v>
      </c>
      <c r="C1132" s="42"/>
      <c r="D1132" s="42"/>
      <c r="E1132" s="42"/>
      <c r="F1132" s="42"/>
      <c r="G1132" s="42"/>
      <c r="H1132" s="42"/>
      <c r="I1132" s="63">
        <v>1.8720000000000001</v>
      </c>
      <c r="J1132" s="42"/>
      <c r="K1132" s="42"/>
      <c r="L1132" s="42"/>
      <c r="M1132" s="42"/>
      <c r="N1132" s="42"/>
      <c r="O1132" s="42"/>
      <c r="P1132" s="42"/>
      <c r="Q1132" s="58"/>
      <c r="R1132" s="42">
        <f t="shared" si="451"/>
        <v>0</v>
      </c>
      <c r="S1132" s="42"/>
      <c r="T1132" s="169"/>
      <c r="W1132" s="185"/>
    </row>
    <row r="1133" spans="1:23" hidden="1" x14ac:dyDescent="0.25">
      <c r="A1133" s="61"/>
      <c r="B1133" s="51" t="s">
        <v>29</v>
      </c>
      <c r="C1133" s="42"/>
      <c r="D1133" s="42"/>
      <c r="E1133" s="42"/>
      <c r="F1133" s="42"/>
      <c r="G1133" s="42"/>
      <c r="H1133" s="42"/>
      <c r="I1133" s="63">
        <v>1.8720000000000001</v>
      </c>
      <c r="J1133" s="42"/>
      <c r="K1133" s="42"/>
      <c r="L1133" s="42"/>
      <c r="M1133" s="42"/>
      <c r="N1133" s="42"/>
      <c r="O1133" s="42"/>
      <c r="P1133" s="42"/>
      <c r="Q1133" s="58"/>
      <c r="R1133" s="42">
        <f t="shared" si="451"/>
        <v>0</v>
      </c>
      <c r="S1133" s="42"/>
      <c r="T1133" s="169"/>
      <c r="W1133" s="185"/>
    </row>
    <row r="1134" spans="1:23" ht="39" hidden="1" x14ac:dyDescent="0.25">
      <c r="A1134" s="61" t="s">
        <v>61</v>
      </c>
      <c r="B1134" s="51" t="s">
        <v>56</v>
      </c>
      <c r="C1134" s="42"/>
      <c r="D1134" s="42"/>
      <c r="E1134" s="42"/>
      <c r="F1134" s="42"/>
      <c r="G1134" s="42"/>
      <c r="H1134" s="42"/>
      <c r="I1134" s="63">
        <v>1.8720000000000001</v>
      </c>
      <c r="J1134" s="42"/>
      <c r="K1134" s="42"/>
      <c r="L1134" s="42"/>
      <c r="M1134" s="42"/>
      <c r="N1134" s="42"/>
      <c r="O1134" s="42"/>
      <c r="P1134" s="42"/>
      <c r="Q1134" s="58"/>
      <c r="R1134" s="42">
        <f t="shared" si="451"/>
        <v>0</v>
      </c>
      <c r="S1134" s="42"/>
      <c r="T1134" s="168"/>
      <c r="W1134" s="185"/>
    </row>
    <row r="1135" spans="1:23" hidden="1" x14ac:dyDescent="0.25">
      <c r="A1135" s="61"/>
      <c r="B1135" s="51" t="s">
        <v>27</v>
      </c>
      <c r="C1135" s="42"/>
      <c r="D1135" s="42"/>
      <c r="E1135" s="42"/>
      <c r="F1135" s="42"/>
      <c r="G1135" s="42"/>
      <c r="H1135" s="42"/>
      <c r="I1135" s="63">
        <v>1.8720000000000001</v>
      </c>
      <c r="J1135" s="42"/>
      <c r="K1135" s="42"/>
      <c r="L1135" s="42"/>
      <c r="M1135" s="42"/>
      <c r="N1135" s="42"/>
      <c r="O1135" s="42"/>
      <c r="P1135" s="42"/>
      <c r="Q1135" s="58"/>
      <c r="R1135" s="42">
        <f t="shared" si="451"/>
        <v>0</v>
      </c>
      <c r="S1135" s="42"/>
      <c r="T1135" s="168"/>
      <c r="W1135" s="185"/>
    </row>
    <row r="1136" spans="1:23" hidden="1" x14ac:dyDescent="0.25">
      <c r="A1136" s="61"/>
      <c r="B1136" s="51" t="s">
        <v>28</v>
      </c>
      <c r="C1136" s="42"/>
      <c r="D1136" s="42"/>
      <c r="E1136" s="42"/>
      <c r="F1136" s="42"/>
      <c r="G1136" s="42"/>
      <c r="H1136" s="42"/>
      <c r="I1136" s="63">
        <v>1.8720000000000001</v>
      </c>
      <c r="J1136" s="42"/>
      <c r="K1136" s="42"/>
      <c r="L1136" s="42"/>
      <c r="M1136" s="42"/>
      <c r="N1136" s="42"/>
      <c r="O1136" s="42"/>
      <c r="P1136" s="42"/>
      <c r="Q1136" s="58"/>
      <c r="R1136" s="42">
        <f t="shared" si="451"/>
        <v>0</v>
      </c>
      <c r="S1136" s="42"/>
      <c r="T1136" s="168"/>
      <c r="W1136" s="185"/>
    </row>
    <row r="1137" spans="1:23" hidden="1" x14ac:dyDescent="0.25">
      <c r="A1137" s="61"/>
      <c r="B1137" s="51" t="s">
        <v>29</v>
      </c>
      <c r="C1137" s="42"/>
      <c r="D1137" s="42"/>
      <c r="E1137" s="42"/>
      <c r="F1137" s="42"/>
      <c r="G1137" s="42"/>
      <c r="H1137" s="42"/>
      <c r="I1137" s="63">
        <v>1.8720000000000001</v>
      </c>
      <c r="J1137" s="42"/>
      <c r="K1137" s="42"/>
      <c r="L1137" s="42"/>
      <c r="M1137" s="42"/>
      <c r="N1137" s="42"/>
      <c r="O1137" s="42"/>
      <c r="P1137" s="42"/>
      <c r="Q1137" s="58"/>
      <c r="R1137" s="42">
        <f t="shared" si="451"/>
        <v>0</v>
      </c>
      <c r="S1137" s="42"/>
      <c r="T1137" s="168"/>
      <c r="W1137" s="185"/>
    </row>
    <row r="1138" spans="1:23" ht="51.75" hidden="1" x14ac:dyDescent="0.25">
      <c r="A1138" s="61" t="s">
        <v>62</v>
      </c>
      <c r="B1138" s="51" t="s">
        <v>57</v>
      </c>
      <c r="C1138" s="42"/>
      <c r="D1138" s="42"/>
      <c r="E1138" s="42"/>
      <c r="F1138" s="42"/>
      <c r="G1138" s="42"/>
      <c r="H1138" s="42"/>
      <c r="I1138" s="63">
        <v>1.8720000000000001</v>
      </c>
      <c r="J1138" s="42"/>
      <c r="K1138" s="42"/>
      <c r="L1138" s="42"/>
      <c r="M1138" s="42"/>
      <c r="N1138" s="42"/>
      <c r="O1138" s="42"/>
      <c r="P1138" s="42"/>
      <c r="Q1138" s="58"/>
      <c r="R1138" s="42">
        <f t="shared" si="451"/>
        <v>0</v>
      </c>
      <c r="S1138" s="42"/>
      <c r="T1138" s="168"/>
      <c r="W1138" s="185"/>
    </row>
    <row r="1139" spans="1:23" hidden="1" x14ac:dyDescent="0.25">
      <c r="A1139" s="61"/>
      <c r="B1139" s="51" t="s">
        <v>27</v>
      </c>
      <c r="C1139" s="42"/>
      <c r="D1139" s="42"/>
      <c r="E1139" s="42"/>
      <c r="F1139" s="42"/>
      <c r="G1139" s="42"/>
      <c r="H1139" s="42"/>
      <c r="I1139" s="63">
        <v>1.8720000000000001</v>
      </c>
      <c r="J1139" s="42"/>
      <c r="K1139" s="42"/>
      <c r="L1139" s="42"/>
      <c r="M1139" s="42"/>
      <c r="N1139" s="42"/>
      <c r="O1139" s="42"/>
      <c r="P1139" s="42"/>
      <c r="Q1139" s="58"/>
      <c r="R1139" s="42">
        <f t="shared" si="451"/>
        <v>0</v>
      </c>
      <c r="S1139" s="42"/>
      <c r="T1139" s="168"/>
      <c r="W1139" s="185"/>
    </row>
    <row r="1140" spans="1:23" hidden="1" x14ac:dyDescent="0.25">
      <c r="A1140" s="61"/>
      <c r="B1140" s="51" t="s">
        <v>28</v>
      </c>
      <c r="C1140" s="42"/>
      <c r="D1140" s="42"/>
      <c r="E1140" s="42"/>
      <c r="F1140" s="42"/>
      <c r="G1140" s="42"/>
      <c r="H1140" s="42"/>
      <c r="I1140" s="63">
        <v>1.8720000000000001</v>
      </c>
      <c r="J1140" s="42"/>
      <c r="K1140" s="42"/>
      <c r="L1140" s="42"/>
      <c r="M1140" s="42"/>
      <c r="N1140" s="42"/>
      <c r="O1140" s="42"/>
      <c r="P1140" s="42"/>
      <c r="Q1140" s="58"/>
      <c r="R1140" s="42">
        <f t="shared" si="451"/>
        <v>0</v>
      </c>
      <c r="S1140" s="42"/>
      <c r="T1140" s="168"/>
      <c r="W1140" s="185"/>
    </row>
    <row r="1141" spans="1:23" hidden="1" x14ac:dyDescent="0.25">
      <c r="A1141" s="61"/>
      <c r="B1141" s="51" t="s">
        <v>29</v>
      </c>
      <c r="C1141" s="42"/>
      <c r="D1141" s="42"/>
      <c r="E1141" s="42"/>
      <c r="F1141" s="42"/>
      <c r="G1141" s="42"/>
      <c r="H1141" s="42"/>
      <c r="I1141" s="63">
        <v>1.8720000000000001</v>
      </c>
      <c r="J1141" s="42"/>
      <c r="K1141" s="42"/>
      <c r="L1141" s="42"/>
      <c r="M1141" s="42"/>
      <c r="N1141" s="42"/>
      <c r="O1141" s="42"/>
      <c r="P1141" s="42"/>
      <c r="Q1141" s="58"/>
      <c r="R1141" s="42">
        <f t="shared" si="451"/>
        <v>0</v>
      </c>
      <c r="S1141" s="42"/>
      <c r="T1141" s="168"/>
      <c r="W1141" s="185"/>
    </row>
    <row r="1142" spans="1:23" ht="51.75" hidden="1" x14ac:dyDescent="0.25">
      <c r="A1142" s="61" t="s">
        <v>63</v>
      </c>
      <c r="B1142" s="51" t="s">
        <v>58</v>
      </c>
      <c r="C1142" s="42"/>
      <c r="D1142" s="42"/>
      <c r="E1142" s="42"/>
      <c r="F1142" s="42"/>
      <c r="G1142" s="42"/>
      <c r="H1142" s="42"/>
      <c r="I1142" s="63">
        <v>1.8720000000000001</v>
      </c>
      <c r="J1142" s="42"/>
      <c r="K1142" s="42"/>
      <c r="L1142" s="42"/>
      <c r="M1142" s="42"/>
      <c r="N1142" s="42"/>
      <c r="O1142" s="42"/>
      <c r="P1142" s="42"/>
      <c r="Q1142" s="58"/>
      <c r="R1142" s="42">
        <f t="shared" si="451"/>
        <v>0</v>
      </c>
      <c r="S1142" s="42"/>
      <c r="T1142" s="168"/>
      <c r="W1142" s="185"/>
    </row>
    <row r="1143" spans="1:23" hidden="1" x14ac:dyDescent="0.25">
      <c r="A1143" s="61"/>
      <c r="B1143" s="51" t="s">
        <v>27</v>
      </c>
      <c r="C1143" s="42"/>
      <c r="D1143" s="42"/>
      <c r="E1143" s="42"/>
      <c r="F1143" s="42"/>
      <c r="G1143" s="42"/>
      <c r="H1143" s="42"/>
      <c r="I1143" s="63">
        <v>1.8720000000000001</v>
      </c>
      <c r="J1143" s="42"/>
      <c r="K1143" s="42"/>
      <c r="L1143" s="42"/>
      <c r="M1143" s="42"/>
      <c r="N1143" s="42"/>
      <c r="O1143" s="42"/>
      <c r="P1143" s="42"/>
      <c r="Q1143" s="58"/>
      <c r="R1143" s="42">
        <f t="shared" si="451"/>
        <v>0</v>
      </c>
      <c r="S1143" s="42"/>
      <c r="T1143" s="168"/>
      <c r="W1143" s="185"/>
    </row>
    <row r="1144" spans="1:23" hidden="1" x14ac:dyDescent="0.25">
      <c r="A1144" s="61"/>
      <c r="B1144" s="51" t="s">
        <v>28</v>
      </c>
      <c r="C1144" s="42"/>
      <c r="D1144" s="42"/>
      <c r="E1144" s="42"/>
      <c r="F1144" s="42"/>
      <c r="G1144" s="42"/>
      <c r="H1144" s="42"/>
      <c r="I1144" s="63">
        <v>1.8720000000000001</v>
      </c>
      <c r="J1144" s="42"/>
      <c r="K1144" s="42"/>
      <c r="L1144" s="42"/>
      <c r="M1144" s="42"/>
      <c r="N1144" s="42"/>
      <c r="O1144" s="42"/>
      <c r="P1144" s="42"/>
      <c r="Q1144" s="58"/>
      <c r="R1144" s="42">
        <f t="shared" si="451"/>
        <v>0</v>
      </c>
      <c r="S1144" s="42"/>
      <c r="T1144" s="168"/>
      <c r="W1144" s="185"/>
    </row>
    <row r="1145" spans="1:23" hidden="1" x14ac:dyDescent="0.25">
      <c r="A1145" s="61"/>
      <c r="B1145" s="51" t="s">
        <v>29</v>
      </c>
      <c r="C1145" s="42"/>
      <c r="D1145" s="42"/>
      <c r="E1145" s="42"/>
      <c r="F1145" s="42"/>
      <c r="G1145" s="42"/>
      <c r="H1145" s="42"/>
      <c r="I1145" s="63">
        <v>1.8720000000000001</v>
      </c>
      <c r="J1145" s="42"/>
      <c r="K1145" s="42"/>
      <c r="L1145" s="42"/>
      <c r="M1145" s="42"/>
      <c r="N1145" s="42"/>
      <c r="O1145" s="42"/>
      <c r="P1145" s="42"/>
      <c r="Q1145" s="58"/>
      <c r="R1145" s="42">
        <f t="shared" si="451"/>
        <v>0</v>
      </c>
      <c r="S1145" s="42"/>
      <c r="T1145" s="168"/>
      <c r="W1145" s="185"/>
    </row>
    <row r="1146" spans="1:23" ht="39" hidden="1" x14ac:dyDescent="0.25">
      <c r="A1146" s="61" t="s">
        <v>64</v>
      </c>
      <c r="B1146" s="51" t="s">
        <v>30</v>
      </c>
      <c r="C1146" s="42"/>
      <c r="D1146" s="42"/>
      <c r="E1146" s="42"/>
      <c r="F1146" s="42"/>
      <c r="G1146" s="42"/>
      <c r="H1146" s="42"/>
      <c r="I1146" s="63">
        <v>1.8720000000000001</v>
      </c>
      <c r="J1146" s="42"/>
      <c r="K1146" s="42"/>
      <c r="L1146" s="42"/>
      <c r="M1146" s="42"/>
      <c r="N1146" s="42"/>
      <c r="O1146" s="42"/>
      <c r="P1146" s="42"/>
      <c r="Q1146" s="58"/>
      <c r="R1146" s="42">
        <f t="shared" si="451"/>
        <v>0</v>
      </c>
      <c r="S1146" s="42"/>
      <c r="T1146" s="168"/>
      <c r="W1146" s="185"/>
    </row>
    <row r="1147" spans="1:23" hidden="1" x14ac:dyDescent="0.25">
      <c r="A1147" s="61"/>
      <c r="B1147" s="51" t="s">
        <v>27</v>
      </c>
      <c r="C1147" s="42"/>
      <c r="D1147" s="42"/>
      <c r="E1147" s="42"/>
      <c r="F1147" s="42"/>
      <c r="G1147" s="42"/>
      <c r="H1147" s="42"/>
      <c r="I1147" s="63">
        <v>1.8720000000000001</v>
      </c>
      <c r="J1147" s="42"/>
      <c r="K1147" s="42"/>
      <c r="L1147" s="42"/>
      <c r="M1147" s="42"/>
      <c r="N1147" s="42"/>
      <c r="O1147" s="42"/>
      <c r="P1147" s="42"/>
      <c r="Q1147" s="58"/>
      <c r="R1147" s="42">
        <f t="shared" si="451"/>
        <v>0</v>
      </c>
      <c r="S1147" s="42"/>
      <c r="T1147" s="168"/>
      <c r="W1147" s="185"/>
    </row>
    <row r="1148" spans="1:23" hidden="1" x14ac:dyDescent="0.25">
      <c r="A1148" s="61"/>
      <c r="B1148" s="51" t="s">
        <v>28</v>
      </c>
      <c r="C1148" s="42"/>
      <c r="D1148" s="42"/>
      <c r="E1148" s="42"/>
      <c r="F1148" s="42"/>
      <c r="G1148" s="42"/>
      <c r="H1148" s="42"/>
      <c r="I1148" s="63">
        <v>1.8720000000000001</v>
      </c>
      <c r="J1148" s="42"/>
      <c r="K1148" s="42"/>
      <c r="L1148" s="42"/>
      <c r="M1148" s="42"/>
      <c r="N1148" s="42"/>
      <c r="O1148" s="42"/>
      <c r="P1148" s="42"/>
      <c r="Q1148" s="58"/>
      <c r="R1148" s="42">
        <f t="shared" si="451"/>
        <v>0</v>
      </c>
      <c r="S1148" s="42"/>
      <c r="T1148" s="168"/>
      <c r="W1148" s="185"/>
    </row>
    <row r="1149" spans="1:23" hidden="1" x14ac:dyDescent="0.25">
      <c r="A1149" s="61"/>
      <c r="B1149" s="51" t="s">
        <v>29</v>
      </c>
      <c r="C1149" s="42"/>
      <c r="D1149" s="42"/>
      <c r="E1149" s="42"/>
      <c r="F1149" s="42"/>
      <c r="G1149" s="42"/>
      <c r="H1149" s="42"/>
      <c r="I1149" s="63">
        <v>1.8720000000000001</v>
      </c>
      <c r="J1149" s="42"/>
      <c r="K1149" s="42"/>
      <c r="L1149" s="42"/>
      <c r="M1149" s="42"/>
      <c r="N1149" s="42"/>
      <c r="O1149" s="42"/>
      <c r="P1149" s="42"/>
      <c r="Q1149" s="58"/>
      <c r="R1149" s="42">
        <f t="shared" si="451"/>
        <v>0</v>
      </c>
      <c r="S1149" s="42"/>
      <c r="T1149" s="168"/>
      <c r="W1149" s="185"/>
    </row>
    <row r="1150" spans="1:23" ht="39" hidden="1" x14ac:dyDescent="0.25">
      <c r="A1150" s="61"/>
      <c r="B1150" s="51" t="s">
        <v>9</v>
      </c>
      <c r="C1150" s="42"/>
      <c r="D1150" s="42"/>
      <c r="E1150" s="42"/>
      <c r="F1150" s="42"/>
      <c r="G1150" s="42"/>
      <c r="H1150" s="42"/>
      <c r="I1150" s="63">
        <v>1.8720000000000001</v>
      </c>
      <c r="J1150" s="42"/>
      <c r="K1150" s="42"/>
      <c r="L1150" s="42"/>
      <c r="M1150" s="42"/>
      <c r="N1150" s="42"/>
      <c r="O1150" s="42"/>
      <c r="P1150" s="42"/>
      <c r="Q1150" s="58"/>
      <c r="R1150" s="42">
        <f t="shared" si="451"/>
        <v>0</v>
      </c>
      <c r="S1150" s="42"/>
      <c r="T1150" s="168"/>
      <c r="W1150" s="185"/>
    </row>
    <row r="1151" spans="1:23" ht="39" hidden="1" x14ac:dyDescent="0.25">
      <c r="A1151" s="61"/>
      <c r="B1151" s="51" t="s">
        <v>11</v>
      </c>
      <c r="C1151" s="42"/>
      <c r="D1151" s="42"/>
      <c r="E1151" s="42"/>
      <c r="F1151" s="42"/>
      <c r="G1151" s="42"/>
      <c r="H1151" s="42"/>
      <c r="I1151" s="63">
        <v>1.8720000000000001</v>
      </c>
      <c r="J1151" s="42"/>
      <c r="K1151" s="42"/>
      <c r="L1151" s="42"/>
      <c r="M1151" s="42"/>
      <c r="N1151" s="42"/>
      <c r="O1151" s="42"/>
      <c r="P1151" s="42"/>
      <c r="Q1151" s="58"/>
      <c r="R1151" s="42">
        <f t="shared" si="451"/>
        <v>0</v>
      </c>
      <c r="S1151" s="42"/>
      <c r="T1151" s="168"/>
      <c r="W1151" s="185"/>
    </row>
    <row r="1152" spans="1:23" hidden="1" x14ac:dyDescent="0.25">
      <c r="A1152" s="61"/>
      <c r="B1152" s="51" t="s">
        <v>13</v>
      </c>
      <c r="C1152" s="42"/>
      <c r="D1152" s="42"/>
      <c r="E1152" s="42"/>
      <c r="F1152" s="42"/>
      <c r="G1152" s="42"/>
      <c r="H1152" s="42"/>
      <c r="I1152" s="63">
        <v>1.8720000000000001</v>
      </c>
      <c r="J1152" s="42"/>
      <c r="K1152" s="42"/>
      <c r="L1152" s="42"/>
      <c r="M1152" s="42"/>
      <c r="N1152" s="42"/>
      <c r="O1152" s="42"/>
      <c r="P1152" s="42"/>
      <c r="Q1152" s="58"/>
      <c r="R1152" s="42">
        <f t="shared" si="451"/>
        <v>0</v>
      </c>
      <c r="S1152" s="42"/>
      <c r="T1152" s="168"/>
      <c r="W1152" s="185"/>
    </row>
    <row r="1153" spans="1:23" hidden="1" x14ac:dyDescent="0.25">
      <c r="A1153" s="61"/>
      <c r="B1153" s="61" t="s">
        <v>14</v>
      </c>
      <c r="C1153" s="42"/>
      <c r="D1153" s="42"/>
      <c r="E1153" s="42"/>
      <c r="F1153" s="42"/>
      <c r="G1153" s="42"/>
      <c r="H1153" s="42"/>
      <c r="I1153" s="63">
        <v>1.8720000000000001</v>
      </c>
      <c r="J1153" s="42"/>
      <c r="K1153" s="42"/>
      <c r="L1153" s="42"/>
      <c r="M1153" s="42"/>
      <c r="N1153" s="42"/>
      <c r="O1153" s="42"/>
      <c r="P1153" s="42"/>
      <c r="Q1153" s="58"/>
      <c r="R1153" s="42">
        <f t="shared" si="451"/>
        <v>0</v>
      </c>
      <c r="S1153" s="42"/>
      <c r="T1153" s="168"/>
      <c r="W1153" s="185"/>
    </row>
    <row r="1154" spans="1:23" hidden="1" x14ac:dyDescent="0.25">
      <c r="A1154" s="61"/>
      <c r="B1154" s="61" t="s">
        <v>17</v>
      </c>
      <c r="C1154" s="42"/>
      <c r="D1154" s="42"/>
      <c r="E1154" s="42"/>
      <c r="F1154" s="42"/>
      <c r="G1154" s="42"/>
      <c r="H1154" s="42"/>
      <c r="I1154" s="63">
        <v>1.8720000000000001</v>
      </c>
      <c r="J1154" s="42"/>
      <c r="K1154" s="42"/>
      <c r="L1154" s="42"/>
      <c r="M1154" s="42"/>
      <c r="N1154" s="42"/>
      <c r="O1154" s="42"/>
      <c r="P1154" s="42"/>
      <c r="Q1154" s="58"/>
      <c r="R1154" s="42">
        <f t="shared" si="451"/>
        <v>0</v>
      </c>
      <c r="S1154" s="42"/>
      <c r="T1154" s="168"/>
      <c r="W1154" s="185"/>
    </row>
    <row r="1155" spans="1:23" hidden="1" x14ac:dyDescent="0.25">
      <c r="A1155" s="61"/>
      <c r="B1155" s="61" t="s">
        <v>14</v>
      </c>
      <c r="C1155" s="42"/>
      <c r="D1155" s="42"/>
      <c r="E1155" s="42"/>
      <c r="F1155" s="42"/>
      <c r="G1155" s="42"/>
      <c r="H1155" s="42"/>
      <c r="I1155" s="63">
        <v>1.8720000000000001</v>
      </c>
      <c r="J1155" s="42"/>
      <c r="K1155" s="42"/>
      <c r="L1155" s="42"/>
      <c r="M1155" s="42"/>
      <c r="N1155" s="42"/>
      <c r="O1155" s="42"/>
      <c r="P1155" s="42"/>
      <c r="Q1155" s="58"/>
      <c r="R1155" s="42">
        <f t="shared" si="451"/>
        <v>0</v>
      </c>
      <c r="S1155" s="42"/>
      <c r="T1155" s="168"/>
      <c r="W1155" s="185"/>
    </row>
    <row r="1156" spans="1:23" x14ac:dyDescent="0.25">
      <c r="A1156" s="65"/>
      <c r="B1156" s="51" t="s">
        <v>13</v>
      </c>
      <c r="C1156" s="42">
        <v>50</v>
      </c>
      <c r="D1156" s="42"/>
      <c r="E1156" s="42"/>
      <c r="F1156" s="42"/>
      <c r="G1156" s="42"/>
      <c r="H1156" s="42"/>
      <c r="I1156" s="42"/>
      <c r="J1156" s="42"/>
      <c r="K1156" s="42"/>
      <c r="L1156" s="63">
        <v>4769.12</v>
      </c>
      <c r="M1156" s="63">
        <v>1.48</v>
      </c>
      <c r="N1156" s="42">
        <f t="shared" ref="N1156" si="456">L1156*M1156</f>
        <v>7058.2975999999999</v>
      </c>
      <c r="O1156" s="42">
        <f>ROUND(C1156*N1156,0)+93484</f>
        <v>446399</v>
      </c>
      <c r="P1156" s="42">
        <f t="shared" ref="P1156" si="457">D1156+F1156+J1156+N1156</f>
        <v>7058.2975999999999</v>
      </c>
      <c r="Q1156" s="58"/>
      <c r="R1156" s="42">
        <f t="shared" si="451"/>
        <v>446399</v>
      </c>
      <c r="S1156" s="42"/>
      <c r="T1156" s="168"/>
      <c r="W1156" s="185"/>
    </row>
    <row r="1157" spans="1:23" s="60" customFormat="1" hidden="1" x14ac:dyDescent="0.25">
      <c r="A1157" s="56"/>
      <c r="B1157" s="51" t="s">
        <v>27</v>
      </c>
      <c r="C1157" s="58"/>
      <c r="D1157" s="58"/>
      <c r="E1157" s="58"/>
      <c r="F1157" s="42"/>
      <c r="G1157" s="58"/>
      <c r="H1157" s="58"/>
      <c r="I1157" s="58"/>
      <c r="J1157" s="58"/>
      <c r="K1157" s="42"/>
      <c r="L1157" s="58"/>
      <c r="M1157" s="42"/>
      <c r="N1157" s="58"/>
      <c r="O1157" s="42"/>
      <c r="P1157" s="42"/>
      <c r="Q1157" s="58"/>
      <c r="R1157" s="42">
        <f t="shared" si="451"/>
        <v>0</v>
      </c>
      <c r="S1157" s="58"/>
      <c r="T1157" s="168"/>
      <c r="U1157" s="68"/>
      <c r="V1157" s="66"/>
      <c r="W1157" s="186"/>
    </row>
    <row r="1158" spans="1:23" hidden="1" x14ac:dyDescent="0.25">
      <c r="A1158" s="61"/>
      <c r="B1158" s="51" t="s">
        <v>28</v>
      </c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58"/>
      <c r="R1158" s="42">
        <f t="shared" si="451"/>
        <v>0</v>
      </c>
      <c r="S1158" s="42"/>
      <c r="T1158" s="168"/>
      <c r="W1158" s="185"/>
    </row>
    <row r="1159" spans="1:23" hidden="1" x14ac:dyDescent="0.25">
      <c r="A1159" s="61"/>
      <c r="B1159" s="51" t="s">
        <v>29</v>
      </c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58"/>
      <c r="R1159" s="42">
        <f t="shared" ref="R1159" si="458">E1159+G1159+K1159+O1159</f>
        <v>0</v>
      </c>
      <c r="S1159" s="42"/>
      <c r="T1159" s="168"/>
      <c r="W1159" s="185"/>
    </row>
    <row r="1160" spans="1:23" s="60" customFormat="1" x14ac:dyDescent="0.25">
      <c r="A1160" s="97"/>
      <c r="B1160" s="100" t="s">
        <v>87</v>
      </c>
      <c r="C1160" s="98">
        <f>C1095+C1096+C1097</f>
        <v>50</v>
      </c>
      <c r="D1160" s="98"/>
      <c r="E1160" s="98">
        <f>E1095+E1096+E1097+E1156</f>
        <v>2810000</v>
      </c>
      <c r="F1160" s="98"/>
      <c r="G1160" s="98">
        <f>G1095+G1096+G1097+G1156</f>
        <v>985000</v>
      </c>
      <c r="H1160" s="98"/>
      <c r="I1160" s="98"/>
      <c r="J1160" s="98"/>
      <c r="K1160" s="98">
        <f>K1095+K1096+K1097+K1156</f>
        <v>1576601</v>
      </c>
      <c r="L1160" s="98"/>
      <c r="M1160" s="98"/>
      <c r="N1160" s="98"/>
      <c r="O1160" s="98">
        <f>O1095+O1096+O1097+O1156</f>
        <v>446399</v>
      </c>
      <c r="P1160" s="48"/>
      <c r="Q1160" s="75"/>
      <c r="R1160" s="98">
        <f>R1095+R1096+R1097+R1156</f>
        <v>5818000</v>
      </c>
      <c r="S1160" s="98">
        <v>2000</v>
      </c>
      <c r="T1160" s="101">
        <f>R1160+S1160</f>
        <v>5820000</v>
      </c>
      <c r="U1160" s="102"/>
      <c r="V1160" s="180"/>
      <c r="W1160" s="186"/>
    </row>
    <row r="1161" spans="1:23" s="60" customFormat="1" x14ac:dyDescent="0.25">
      <c r="A1161" s="56">
        <v>2</v>
      </c>
      <c r="B1161" s="8" t="s">
        <v>273</v>
      </c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42"/>
      <c r="Q1161" s="58"/>
      <c r="R1161" s="58"/>
      <c r="S1161" s="58"/>
      <c r="T1161" s="168"/>
      <c r="U1161" s="68"/>
      <c r="V1161" s="66"/>
      <c r="W1161" s="186"/>
    </row>
    <row r="1162" spans="1:23" ht="39" hidden="1" x14ac:dyDescent="0.25">
      <c r="A1162" s="61" t="s">
        <v>15</v>
      </c>
      <c r="B1162" s="51" t="s">
        <v>54</v>
      </c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58"/>
      <c r="R1162" s="42"/>
      <c r="S1162" s="42"/>
      <c r="T1162" s="169"/>
      <c r="W1162" s="185"/>
    </row>
    <row r="1163" spans="1:23" hidden="1" x14ac:dyDescent="0.25">
      <c r="A1163" s="61"/>
      <c r="B1163" s="51" t="s">
        <v>27</v>
      </c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58"/>
      <c r="R1163" s="42"/>
      <c r="S1163" s="42"/>
      <c r="T1163" s="169"/>
      <c r="W1163" s="185"/>
    </row>
    <row r="1164" spans="1:23" hidden="1" x14ac:dyDescent="0.25">
      <c r="A1164" s="61"/>
      <c r="B1164" s="51" t="s">
        <v>28</v>
      </c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58"/>
      <c r="R1164" s="42"/>
      <c r="S1164" s="42"/>
      <c r="T1164" s="169"/>
      <c r="W1164" s="185"/>
    </row>
    <row r="1165" spans="1:23" hidden="1" x14ac:dyDescent="0.25">
      <c r="A1165" s="61"/>
      <c r="B1165" s="51" t="s">
        <v>29</v>
      </c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58"/>
      <c r="R1165" s="42"/>
      <c r="S1165" s="42"/>
      <c r="T1165" s="169"/>
      <c r="W1165" s="185"/>
    </row>
    <row r="1166" spans="1:23" ht="39" hidden="1" x14ac:dyDescent="0.25">
      <c r="A1166" s="61" t="s">
        <v>59</v>
      </c>
      <c r="B1166" s="51" t="s">
        <v>68</v>
      </c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58"/>
      <c r="R1166" s="42"/>
      <c r="S1166" s="42"/>
      <c r="T1166" s="169"/>
      <c r="W1166" s="185"/>
    </row>
    <row r="1167" spans="1:23" hidden="1" x14ac:dyDescent="0.25">
      <c r="A1167" s="61"/>
      <c r="B1167" s="51" t="s">
        <v>27</v>
      </c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58"/>
      <c r="R1167" s="42"/>
      <c r="S1167" s="42"/>
      <c r="T1167" s="169"/>
      <c r="W1167" s="185"/>
    </row>
    <row r="1168" spans="1:23" hidden="1" x14ac:dyDescent="0.25">
      <c r="A1168" s="61"/>
      <c r="B1168" s="51" t="s">
        <v>28</v>
      </c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58"/>
      <c r="R1168" s="42"/>
      <c r="S1168" s="42"/>
      <c r="T1168" s="169"/>
      <c r="W1168" s="185"/>
    </row>
    <row r="1169" spans="1:23" hidden="1" x14ac:dyDescent="0.25">
      <c r="A1169" s="61"/>
      <c r="B1169" s="51" t="s">
        <v>29</v>
      </c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58"/>
      <c r="R1169" s="42"/>
      <c r="S1169" s="42"/>
      <c r="T1169" s="169"/>
      <c r="W1169" s="185"/>
    </row>
    <row r="1170" spans="1:23" ht="39" hidden="1" x14ac:dyDescent="0.25">
      <c r="A1170" s="61" t="s">
        <v>60</v>
      </c>
      <c r="B1170" s="51" t="s">
        <v>55</v>
      </c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58"/>
      <c r="R1170" s="42"/>
      <c r="S1170" s="42"/>
      <c r="T1170" s="169"/>
      <c r="W1170" s="185"/>
    </row>
    <row r="1171" spans="1:23" hidden="1" x14ac:dyDescent="0.25">
      <c r="A1171" s="61"/>
      <c r="B1171" s="51" t="s">
        <v>27</v>
      </c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58"/>
      <c r="R1171" s="42"/>
      <c r="S1171" s="42"/>
      <c r="T1171" s="169"/>
      <c r="W1171" s="185"/>
    </row>
    <row r="1172" spans="1:23" hidden="1" x14ac:dyDescent="0.25">
      <c r="A1172" s="61"/>
      <c r="B1172" s="51" t="s">
        <v>28</v>
      </c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58"/>
      <c r="R1172" s="42"/>
      <c r="S1172" s="42"/>
      <c r="T1172" s="169"/>
      <c r="W1172" s="185"/>
    </row>
    <row r="1173" spans="1:23" hidden="1" x14ac:dyDescent="0.25">
      <c r="A1173" s="61"/>
      <c r="B1173" s="51" t="s">
        <v>29</v>
      </c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58"/>
      <c r="R1173" s="42"/>
      <c r="S1173" s="42"/>
      <c r="T1173" s="169"/>
      <c r="W1173" s="185"/>
    </row>
    <row r="1174" spans="1:23" ht="45" customHeight="1" x14ac:dyDescent="0.25">
      <c r="A1174" s="61" t="s">
        <v>253</v>
      </c>
      <c r="B1174" s="51" t="s">
        <v>56</v>
      </c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58"/>
      <c r="R1174" s="42"/>
      <c r="S1174" s="42"/>
      <c r="T1174" s="168"/>
      <c r="W1174" s="185"/>
    </row>
    <row r="1175" spans="1:23" x14ac:dyDescent="0.25">
      <c r="A1175" s="61"/>
      <c r="B1175" s="51" t="s">
        <v>287</v>
      </c>
      <c r="C1175" s="42"/>
      <c r="D1175" s="42"/>
      <c r="E1175" s="42"/>
      <c r="F1175" s="42"/>
      <c r="G1175" s="42"/>
      <c r="H1175" s="42"/>
      <c r="I1175" s="63"/>
      <c r="J1175" s="42"/>
      <c r="K1175" s="42"/>
      <c r="L1175" s="42"/>
      <c r="M1175" s="42"/>
      <c r="N1175" s="42"/>
      <c r="O1175" s="42"/>
      <c r="P1175" s="42">
        <f t="shared" ref="P1175:P1178" si="459">D1175+F1175+J1175+N1175</f>
        <v>0</v>
      </c>
      <c r="Q1175" s="58"/>
      <c r="R1175" s="42">
        <f t="shared" ref="R1175:R1178" si="460">E1175+G1175+K1175+O1175</f>
        <v>0</v>
      </c>
      <c r="S1175" s="42"/>
      <c r="T1175" s="168"/>
      <c r="W1175" s="185"/>
    </row>
    <row r="1176" spans="1:23" x14ac:dyDescent="0.25">
      <c r="A1176" s="61"/>
      <c r="B1176" s="51" t="s">
        <v>28</v>
      </c>
      <c r="C1176" s="42">
        <v>10</v>
      </c>
      <c r="D1176" s="42">
        <v>50772</v>
      </c>
      <c r="E1176" s="42">
        <f>C1176*D1176+4420</f>
        <v>512140</v>
      </c>
      <c r="F1176" s="42">
        <f t="shared" ref="F1176:F1177" si="461">ROUND(D1176*35.045%,0)</f>
        <v>17793</v>
      </c>
      <c r="G1176" s="42">
        <f>C1176*F1176+2105</f>
        <v>180035</v>
      </c>
      <c r="H1176" s="63">
        <v>17881.599999999999</v>
      </c>
      <c r="I1176" s="63">
        <v>0.36199999999999999</v>
      </c>
      <c r="J1176" s="42">
        <f t="shared" ref="J1176" si="462">H1176*I1176</f>
        <v>6473.1391999999996</v>
      </c>
      <c r="K1176" s="42">
        <f>ROUND(C1176*J1176,0)</f>
        <v>64731</v>
      </c>
      <c r="L1176" s="42"/>
      <c r="M1176" s="42"/>
      <c r="N1176" s="42"/>
      <c r="O1176" s="42"/>
      <c r="P1176" s="42">
        <f t="shared" si="459"/>
        <v>75038.139200000005</v>
      </c>
      <c r="Q1176" s="58"/>
      <c r="R1176" s="42">
        <f t="shared" si="460"/>
        <v>756906</v>
      </c>
      <c r="S1176" s="42"/>
      <c r="T1176" s="168"/>
      <c r="W1176" s="185"/>
    </row>
    <row r="1177" spans="1:23" x14ac:dyDescent="0.25">
      <c r="A1177" s="61"/>
      <c r="B1177" s="51" t="s">
        <v>289</v>
      </c>
      <c r="C1177" s="42">
        <v>5</v>
      </c>
      <c r="D1177" s="42">
        <v>50772</v>
      </c>
      <c r="E1177" s="42">
        <f t="shared" ref="E1177" si="463">C1177*D1177</f>
        <v>253860</v>
      </c>
      <c r="F1177" s="42">
        <f t="shared" si="461"/>
        <v>17793</v>
      </c>
      <c r="G1177" s="42">
        <f t="shared" ref="G1177" si="464">C1177*F1177</f>
        <v>88965</v>
      </c>
      <c r="H1177" s="63">
        <v>17881.599999999999</v>
      </c>
      <c r="I1177" s="63">
        <v>0.36199999999999999</v>
      </c>
      <c r="J1177" s="42">
        <f t="shared" ref="J1177" si="465">H1177*I1177</f>
        <v>6473.1391999999996</v>
      </c>
      <c r="K1177" s="42">
        <f t="shared" ref="K1177" si="466">ROUND(C1177*J1177,0)</f>
        <v>32366</v>
      </c>
      <c r="L1177" s="42"/>
      <c r="M1177" s="42"/>
      <c r="N1177" s="42"/>
      <c r="O1177" s="42"/>
      <c r="P1177" s="42">
        <f t="shared" si="459"/>
        <v>75038.139200000005</v>
      </c>
      <c r="Q1177" s="58"/>
      <c r="R1177" s="42">
        <f t="shared" si="460"/>
        <v>375191</v>
      </c>
      <c r="S1177" s="42"/>
      <c r="T1177" s="168"/>
      <c r="W1177" s="185"/>
    </row>
    <row r="1178" spans="1:23" x14ac:dyDescent="0.25">
      <c r="A1178" s="65"/>
      <c r="B1178" s="51" t="s">
        <v>13</v>
      </c>
      <c r="C1178" s="42">
        <v>15</v>
      </c>
      <c r="D1178" s="42"/>
      <c r="E1178" s="42"/>
      <c r="F1178" s="42"/>
      <c r="G1178" s="42"/>
      <c r="H1178" s="42"/>
      <c r="I1178" s="42"/>
      <c r="J1178" s="42"/>
      <c r="K1178" s="42"/>
      <c r="L1178" s="63">
        <v>4769.12</v>
      </c>
      <c r="M1178" s="63">
        <v>1.47</v>
      </c>
      <c r="N1178" s="42">
        <f t="shared" ref="N1178" si="467">L1178*M1178</f>
        <v>7010.6063999999997</v>
      </c>
      <c r="O1178" s="42">
        <f>ROUND(C1178*N1178,0)+11744</f>
        <v>116903</v>
      </c>
      <c r="P1178" s="42">
        <f t="shared" si="459"/>
        <v>7010.6063999999997</v>
      </c>
      <c r="Q1178" s="58"/>
      <c r="R1178" s="42">
        <f t="shared" si="460"/>
        <v>116903</v>
      </c>
      <c r="S1178" s="42"/>
      <c r="T1178" s="168"/>
      <c r="W1178" s="185"/>
    </row>
    <row r="1179" spans="1:23" s="60" customFormat="1" x14ac:dyDescent="0.25">
      <c r="A1179" s="97"/>
      <c r="B1179" s="100" t="s">
        <v>274</v>
      </c>
      <c r="C1179" s="98">
        <f>C1176+C1177</f>
        <v>15</v>
      </c>
      <c r="D1179" s="98"/>
      <c r="E1179" s="98">
        <f>E1176+E1177</f>
        <v>766000</v>
      </c>
      <c r="F1179" s="98"/>
      <c r="G1179" s="98">
        <f>G1176+G1177+G1178</f>
        <v>269000</v>
      </c>
      <c r="H1179" s="98"/>
      <c r="I1179" s="98"/>
      <c r="J1179" s="98"/>
      <c r="K1179" s="98">
        <f>K1176+K1177+K1178</f>
        <v>97097</v>
      </c>
      <c r="L1179" s="98"/>
      <c r="M1179" s="98"/>
      <c r="N1179" s="98"/>
      <c r="O1179" s="98">
        <f>O1176+O1177+O1178</f>
        <v>116903</v>
      </c>
      <c r="P1179" s="48"/>
      <c r="Q1179" s="75"/>
      <c r="R1179" s="98">
        <f>R1176+R1177+R1178</f>
        <v>1249000</v>
      </c>
      <c r="S1179" s="98">
        <v>2000</v>
      </c>
      <c r="T1179" s="101">
        <f>R1179+S1179</f>
        <v>1251000</v>
      </c>
      <c r="U1179" s="102"/>
      <c r="V1179" s="180"/>
      <c r="W1179" s="186"/>
    </row>
    <row r="1180" spans="1:23" s="60" customFormat="1" x14ac:dyDescent="0.25">
      <c r="A1180" s="56">
        <v>2</v>
      </c>
      <c r="B1180" s="8" t="s">
        <v>275</v>
      </c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42"/>
      <c r="Q1180" s="58"/>
      <c r="R1180" s="58"/>
      <c r="S1180" s="58"/>
      <c r="T1180" s="168"/>
      <c r="U1180" s="68"/>
      <c r="V1180" s="66"/>
      <c r="W1180" s="66"/>
    </row>
    <row r="1181" spans="1:23" ht="39" hidden="1" x14ac:dyDescent="0.25">
      <c r="A1181" s="61" t="s">
        <v>15</v>
      </c>
      <c r="B1181" s="51" t="s">
        <v>54</v>
      </c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58"/>
      <c r="R1181" s="42"/>
      <c r="S1181" s="42"/>
      <c r="T1181" s="169"/>
    </row>
    <row r="1182" spans="1:23" hidden="1" x14ac:dyDescent="0.25">
      <c r="A1182" s="61"/>
      <c r="B1182" s="51" t="s">
        <v>27</v>
      </c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58"/>
      <c r="R1182" s="42"/>
      <c r="S1182" s="42"/>
      <c r="T1182" s="169"/>
    </row>
    <row r="1183" spans="1:23" hidden="1" x14ac:dyDescent="0.25">
      <c r="A1183" s="61"/>
      <c r="B1183" s="51" t="s">
        <v>28</v>
      </c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58"/>
      <c r="R1183" s="42"/>
      <c r="S1183" s="42"/>
      <c r="T1183" s="169"/>
    </row>
    <row r="1184" spans="1:23" hidden="1" x14ac:dyDescent="0.25">
      <c r="A1184" s="61"/>
      <c r="B1184" s="51" t="s">
        <v>29</v>
      </c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58"/>
      <c r="R1184" s="42"/>
      <c r="S1184" s="42"/>
      <c r="T1184" s="169"/>
    </row>
    <row r="1185" spans="1:23" ht="39" hidden="1" x14ac:dyDescent="0.25">
      <c r="A1185" s="61" t="s">
        <v>59</v>
      </c>
      <c r="B1185" s="51" t="s">
        <v>68</v>
      </c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58"/>
      <c r="R1185" s="42"/>
      <c r="S1185" s="42"/>
      <c r="T1185" s="169"/>
    </row>
    <row r="1186" spans="1:23" hidden="1" x14ac:dyDescent="0.25">
      <c r="A1186" s="61"/>
      <c r="B1186" s="51" t="s">
        <v>27</v>
      </c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58"/>
      <c r="R1186" s="42"/>
      <c r="S1186" s="42"/>
      <c r="T1186" s="169"/>
    </row>
    <row r="1187" spans="1:23" hidden="1" x14ac:dyDescent="0.25">
      <c r="A1187" s="61"/>
      <c r="B1187" s="51" t="s">
        <v>28</v>
      </c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58"/>
      <c r="R1187" s="42"/>
      <c r="S1187" s="42"/>
      <c r="T1187" s="169"/>
    </row>
    <row r="1188" spans="1:23" hidden="1" x14ac:dyDescent="0.25">
      <c r="A1188" s="61"/>
      <c r="B1188" s="51" t="s">
        <v>29</v>
      </c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58"/>
      <c r="R1188" s="42"/>
      <c r="S1188" s="42"/>
      <c r="T1188" s="169"/>
    </row>
    <row r="1189" spans="1:23" ht="51.75" x14ac:dyDescent="0.25">
      <c r="A1189" s="61" t="s">
        <v>60</v>
      </c>
      <c r="B1189" s="51" t="s">
        <v>324</v>
      </c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58"/>
      <c r="R1189" s="42"/>
      <c r="S1189" s="42"/>
      <c r="T1189" s="169"/>
    </row>
    <row r="1190" spans="1:23" hidden="1" x14ac:dyDescent="0.25">
      <c r="A1190" s="61"/>
      <c r="B1190" s="51" t="s">
        <v>28</v>
      </c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58"/>
      <c r="R1190" s="42"/>
      <c r="S1190" s="42"/>
      <c r="T1190" s="169"/>
    </row>
    <row r="1191" spans="1:23" hidden="1" x14ac:dyDescent="0.25">
      <c r="A1191" s="61"/>
      <c r="B1191" s="51" t="s">
        <v>28</v>
      </c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58"/>
      <c r="R1191" s="42"/>
      <c r="S1191" s="42"/>
      <c r="T1191" s="169"/>
    </row>
    <row r="1192" spans="1:23" x14ac:dyDescent="0.25">
      <c r="A1192" s="61"/>
      <c r="B1192" s="51" t="s">
        <v>29</v>
      </c>
      <c r="C1192" s="42">
        <v>5</v>
      </c>
      <c r="D1192" s="42">
        <v>404568</v>
      </c>
      <c r="E1192" s="42">
        <f>C1192*D1192+34195</f>
        <v>2057035</v>
      </c>
      <c r="F1192" s="42">
        <f t="shared" ref="F1192:F1196" si="468">ROUND(D1192*35.045%,0)</f>
        <v>141781</v>
      </c>
      <c r="G1192" s="42">
        <f>C1192*F1192+12365</f>
        <v>721270</v>
      </c>
      <c r="H1192" s="63">
        <v>17881.599999999999</v>
      </c>
      <c r="I1192" s="63">
        <v>2.0219999999999998</v>
      </c>
      <c r="J1192" s="42">
        <f t="shared" ref="J1192" si="469">H1192*I1192</f>
        <v>36156.595199999996</v>
      </c>
      <c r="K1192" s="42">
        <f>ROUND(C1192*J1192,0)+514</f>
        <v>181297</v>
      </c>
      <c r="L1192" s="42"/>
      <c r="M1192" s="42"/>
      <c r="N1192" s="42"/>
      <c r="O1192" s="42"/>
      <c r="P1192" s="42">
        <f t="shared" ref="P1192:P1196" si="470">D1192+F1192+J1192+N1192</f>
        <v>582505.59519999998</v>
      </c>
      <c r="Q1192" s="58"/>
      <c r="R1192" s="42">
        <f t="shared" ref="R1192:R1196" si="471">E1192+G1192+K1192+O1192</f>
        <v>2959602</v>
      </c>
      <c r="S1192" s="42"/>
      <c r="T1192" s="169"/>
    </row>
    <row r="1193" spans="1:23" ht="45" customHeight="1" x14ac:dyDescent="0.25">
      <c r="A1193" s="61" t="s">
        <v>253</v>
      </c>
      <c r="B1193" s="51" t="s">
        <v>297</v>
      </c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58"/>
      <c r="R1193" s="42"/>
      <c r="S1193" s="42"/>
      <c r="T1193" s="168"/>
    </row>
    <row r="1194" spans="1:23" x14ac:dyDescent="0.25">
      <c r="A1194" s="61"/>
      <c r="B1194" s="51" t="s">
        <v>287</v>
      </c>
      <c r="C1194" s="42">
        <v>15</v>
      </c>
      <c r="D1194" s="42">
        <v>74111</v>
      </c>
      <c r="E1194" s="42">
        <f t="shared" ref="E1194:E1196" si="472">C1194*D1194</f>
        <v>1111665</v>
      </c>
      <c r="F1194" s="42">
        <f t="shared" si="468"/>
        <v>25972</v>
      </c>
      <c r="G1194" s="42">
        <f t="shared" ref="G1194" si="473">C1194*F1194</f>
        <v>389580</v>
      </c>
      <c r="H1194" s="63">
        <v>17881.599999999999</v>
      </c>
      <c r="I1194" s="63">
        <v>2.0219999999999998</v>
      </c>
      <c r="J1194" s="42">
        <f t="shared" ref="J1194" si="474">H1194*I1194</f>
        <v>36156.595199999996</v>
      </c>
      <c r="K1194" s="42">
        <f t="shared" ref="K1194" si="475">ROUND(C1194*J1194,0)</f>
        <v>542349</v>
      </c>
      <c r="L1194" s="42"/>
      <c r="M1194" s="42"/>
      <c r="N1194" s="42"/>
      <c r="O1194" s="42"/>
      <c r="P1194" s="42">
        <f t="shared" si="470"/>
        <v>136239.59519999998</v>
      </c>
      <c r="Q1194" s="58"/>
      <c r="R1194" s="42">
        <f t="shared" si="471"/>
        <v>2043594</v>
      </c>
      <c r="S1194" s="42"/>
      <c r="T1194" s="168"/>
    </row>
    <row r="1195" spans="1:23" x14ac:dyDescent="0.25">
      <c r="A1195" s="61"/>
      <c r="B1195" s="51" t="s">
        <v>28</v>
      </c>
      <c r="C1195" s="42">
        <v>30</v>
      </c>
      <c r="D1195" s="42">
        <v>44466</v>
      </c>
      <c r="E1195" s="42">
        <f t="shared" si="472"/>
        <v>1333980</v>
      </c>
      <c r="F1195" s="42">
        <f t="shared" si="468"/>
        <v>15583</v>
      </c>
      <c r="G1195" s="42">
        <f t="shared" ref="G1195:G1196" si="476">C1195*F1195</f>
        <v>467490</v>
      </c>
      <c r="H1195" s="63">
        <v>17881.599999999999</v>
      </c>
      <c r="I1195" s="63">
        <v>2.0219999999999998</v>
      </c>
      <c r="J1195" s="42">
        <f t="shared" ref="J1195:J1196" si="477">H1195*I1195</f>
        <v>36156.595199999996</v>
      </c>
      <c r="K1195" s="42">
        <f t="shared" ref="K1195:K1196" si="478">ROUND(C1195*J1195,0)</f>
        <v>1084698</v>
      </c>
      <c r="L1195" s="42"/>
      <c r="M1195" s="42"/>
      <c r="N1195" s="42"/>
      <c r="O1195" s="42"/>
      <c r="P1195" s="42">
        <f t="shared" si="470"/>
        <v>96205.595199999996</v>
      </c>
      <c r="Q1195" s="58"/>
      <c r="R1195" s="42">
        <f t="shared" si="471"/>
        <v>2886168</v>
      </c>
      <c r="S1195" s="42"/>
      <c r="T1195" s="168"/>
    </row>
    <row r="1196" spans="1:23" x14ac:dyDescent="0.25">
      <c r="A1196" s="61"/>
      <c r="B1196" s="51" t="s">
        <v>289</v>
      </c>
      <c r="C1196" s="42">
        <v>20</v>
      </c>
      <c r="D1196" s="42">
        <v>44466</v>
      </c>
      <c r="E1196" s="42">
        <f t="shared" si="472"/>
        <v>889320</v>
      </c>
      <c r="F1196" s="42">
        <f t="shared" si="468"/>
        <v>15583</v>
      </c>
      <c r="G1196" s="42">
        <f t="shared" si="476"/>
        <v>311660</v>
      </c>
      <c r="H1196" s="63">
        <v>17881.599999999999</v>
      </c>
      <c r="I1196" s="63">
        <v>2.0219999999999998</v>
      </c>
      <c r="J1196" s="42">
        <f t="shared" si="477"/>
        <v>36156.595199999996</v>
      </c>
      <c r="K1196" s="42">
        <f t="shared" si="478"/>
        <v>723132</v>
      </c>
      <c r="L1196" s="42"/>
      <c r="M1196" s="42"/>
      <c r="N1196" s="42"/>
      <c r="O1196" s="42"/>
      <c r="P1196" s="42">
        <f t="shared" si="470"/>
        <v>96205.595199999996</v>
      </c>
      <c r="Q1196" s="58"/>
      <c r="R1196" s="42">
        <f t="shared" si="471"/>
        <v>1924112</v>
      </c>
      <c r="S1196" s="42"/>
      <c r="T1196" s="168"/>
    </row>
    <row r="1197" spans="1:23" x14ac:dyDescent="0.25">
      <c r="A1197" s="65"/>
      <c r="B1197" s="51" t="s">
        <v>13</v>
      </c>
      <c r="C1197" s="42">
        <v>70</v>
      </c>
      <c r="D1197" s="42"/>
      <c r="E1197" s="42"/>
      <c r="F1197" s="42"/>
      <c r="G1197" s="42"/>
      <c r="H1197" s="42"/>
      <c r="I1197" s="42"/>
      <c r="J1197" s="42"/>
      <c r="K1197" s="42"/>
      <c r="L1197" s="63">
        <v>4769.12</v>
      </c>
      <c r="M1197" s="63">
        <v>1.69</v>
      </c>
      <c r="N1197" s="42">
        <f t="shared" ref="N1197" si="479">L1197*M1197</f>
        <v>8059.8127999999997</v>
      </c>
      <c r="O1197" s="42">
        <f>ROUND(C1197*N1197,0)+121337</f>
        <v>685524</v>
      </c>
      <c r="P1197" s="42">
        <f t="shared" ref="P1197" si="480">D1197+F1197+J1197+N1197</f>
        <v>8059.8127999999997</v>
      </c>
      <c r="Q1197" s="58"/>
      <c r="R1197" s="42">
        <f t="shared" ref="R1197" si="481">E1197+G1197+K1197+O1197</f>
        <v>685524</v>
      </c>
      <c r="S1197" s="42"/>
      <c r="T1197" s="168"/>
    </row>
    <row r="1198" spans="1:23" s="60" customFormat="1" x14ac:dyDescent="0.25">
      <c r="A1198" s="97"/>
      <c r="B1198" s="100" t="s">
        <v>276</v>
      </c>
      <c r="C1198" s="98">
        <f>C1194+C1192+C1195+C1196</f>
        <v>70</v>
      </c>
      <c r="D1198" s="98"/>
      <c r="E1198" s="98">
        <f>E1194+E1192+E1195+E1196+E1197</f>
        <v>5392000</v>
      </c>
      <c r="F1198" s="98"/>
      <c r="G1198" s="98">
        <f>G1194+G1192+G1195+G1196+G1197</f>
        <v>1890000</v>
      </c>
      <c r="H1198" s="98"/>
      <c r="I1198" s="98"/>
      <c r="J1198" s="98"/>
      <c r="K1198" s="98">
        <f>K1194+K1192+K1195+K1196+K1197</f>
        <v>2531476</v>
      </c>
      <c r="L1198" s="98"/>
      <c r="M1198" s="98"/>
      <c r="N1198" s="98"/>
      <c r="O1198" s="98">
        <f>O1194+O1192+O1195+O1196+O1197</f>
        <v>685524</v>
      </c>
      <c r="P1198" s="48"/>
      <c r="Q1198" s="75"/>
      <c r="R1198" s="98">
        <f>R1194+R1192+R1195+R1196+R1197</f>
        <v>10499000</v>
      </c>
      <c r="S1198" s="98">
        <v>37000</v>
      </c>
      <c r="T1198" s="101">
        <f>R1198+S1198</f>
        <v>10536000</v>
      </c>
      <c r="U1198" s="102"/>
      <c r="V1198" s="180"/>
      <c r="W1198" s="66"/>
    </row>
    <row r="1199" spans="1:23" x14ac:dyDescent="0.25">
      <c r="B1199" s="51" t="s">
        <v>90</v>
      </c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42"/>
      <c r="Q1199" s="58"/>
      <c r="R1199" s="52"/>
      <c r="S1199" s="52"/>
      <c r="T1199" s="173"/>
    </row>
    <row r="1200" spans="1:23" x14ac:dyDescent="0.25">
      <c r="B1200" s="51" t="s">
        <v>88</v>
      </c>
      <c r="C1200" s="110">
        <f>C1198+C1179+C1160+C1080+C1040+C961+C843+C725+C607+C567+C488</f>
        <v>688</v>
      </c>
      <c r="D1200" s="52"/>
      <c r="E1200" s="110">
        <f>E1198+E1179+E1160+E1080+E1040+E961+E843+E725+E607+E567+E488</f>
        <v>37540000</v>
      </c>
      <c r="F1200" s="52"/>
      <c r="G1200" s="110">
        <f>G1198+G1179+G1160+G1080+G1040+G961+G843+G725+G607+G567+G488</f>
        <v>13157000</v>
      </c>
      <c r="H1200" s="52"/>
      <c r="I1200" s="52"/>
      <c r="J1200" s="52"/>
      <c r="K1200" s="110">
        <f>K1198+K1179+K1160+K1080+K1040+K961+K843+K725+K607+K567+K488</f>
        <v>18619310</v>
      </c>
      <c r="L1200" s="52"/>
      <c r="M1200" s="52"/>
      <c r="N1200" s="52"/>
      <c r="O1200" s="110">
        <f>O1198+O1179+O1160+O1080+O1040+O961+O843+O725+O607+O567+O488</f>
        <v>5101690</v>
      </c>
      <c r="P1200" s="52"/>
      <c r="Q1200" s="52"/>
      <c r="R1200" s="110">
        <f>R1198+R1179+R1160+R1080+R1040+R961+R843+R725+R607+R567+R488</f>
        <v>74418000</v>
      </c>
      <c r="S1200" s="110">
        <f>S1198+S1179+S1160+S1080+S1040+S961+S843+S725+S607+S567+S488</f>
        <v>333000</v>
      </c>
      <c r="T1200" s="174">
        <f>T1198+T1179+T1160+T1080+T1040+T961+T843+T725+T607+T567+T488</f>
        <v>74751000</v>
      </c>
      <c r="U1200" s="187"/>
    </row>
    <row r="1201" spans="1:23" x14ac:dyDescent="0.25">
      <c r="B1201" s="51" t="s">
        <v>89</v>
      </c>
      <c r="C1201" s="52">
        <f>C1200+C312</f>
        <v>4227</v>
      </c>
      <c r="D1201" s="53"/>
      <c r="E1201" s="52">
        <f>E1200+E312</f>
        <v>223904100</v>
      </c>
      <c r="F1201" s="53"/>
      <c r="G1201" s="52">
        <f>G1200+G312</f>
        <v>78477859</v>
      </c>
      <c r="H1201" s="53"/>
      <c r="I1201" s="53"/>
      <c r="J1201" s="53"/>
      <c r="K1201" s="52">
        <f>K1200+K312</f>
        <v>88727219</v>
      </c>
      <c r="L1201" s="53"/>
      <c r="M1201" s="53"/>
      <c r="N1201" s="53"/>
      <c r="O1201" s="52">
        <f>O1200+O312</f>
        <v>23791337</v>
      </c>
      <c r="P1201" s="52"/>
      <c r="Q1201" s="52"/>
      <c r="R1201" s="52">
        <f>R1200+R312</f>
        <v>415365500</v>
      </c>
      <c r="S1201" s="52">
        <f>S1200+S312</f>
        <v>4056000</v>
      </c>
      <c r="T1201" s="173">
        <f>T1200+T312</f>
        <v>419421500</v>
      </c>
      <c r="U1201" s="188"/>
      <c r="V1201" s="175"/>
    </row>
    <row r="1202" spans="1:23" hidden="1" x14ac:dyDescent="0.25">
      <c r="A1202" s="55" t="s">
        <v>269</v>
      </c>
      <c r="B1202" s="69" t="s">
        <v>16</v>
      </c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70"/>
      <c r="Q1202" s="71"/>
      <c r="R1202" s="72"/>
      <c r="S1202" s="49"/>
      <c r="T1202" s="49"/>
    </row>
    <row r="1203" spans="1:23" s="43" customFormat="1" ht="38.25" hidden="1" x14ac:dyDescent="0.2">
      <c r="A1203" s="61" t="s">
        <v>15</v>
      </c>
      <c r="B1203" s="51" t="s">
        <v>54</v>
      </c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5"/>
      <c r="S1203" s="45"/>
      <c r="T1203" s="45"/>
      <c r="U1203" s="145"/>
      <c r="V1203" s="134"/>
      <c r="W1203" s="134"/>
    </row>
    <row r="1204" spans="1:23" s="43" customFormat="1" ht="12.75" hidden="1" x14ac:dyDescent="0.2">
      <c r="A1204" s="61"/>
      <c r="B1204" s="51" t="s">
        <v>287</v>
      </c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5"/>
      <c r="S1204" s="45"/>
      <c r="T1204" s="45"/>
      <c r="U1204" s="145"/>
      <c r="V1204" s="134"/>
      <c r="W1204" s="134"/>
    </row>
    <row r="1205" spans="1:23" s="43" customFormat="1" ht="12.75" hidden="1" x14ac:dyDescent="0.2">
      <c r="A1205" s="61"/>
      <c r="B1205" s="51" t="s">
        <v>28</v>
      </c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5"/>
      <c r="S1205" s="45"/>
      <c r="T1205" s="45"/>
      <c r="U1205" s="145"/>
      <c r="V1205" s="134"/>
      <c r="W1205" s="134"/>
    </row>
    <row r="1206" spans="1:23" s="43" customFormat="1" ht="12.75" hidden="1" x14ac:dyDescent="0.2">
      <c r="A1206" s="61"/>
      <c r="B1206" s="51" t="s">
        <v>289</v>
      </c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5"/>
      <c r="S1206" s="45"/>
      <c r="T1206" s="45"/>
      <c r="U1206" s="145"/>
      <c r="V1206" s="134"/>
      <c r="W1206" s="134"/>
    </row>
    <row r="1207" spans="1:23" s="43" customFormat="1" ht="38.25" hidden="1" x14ac:dyDescent="0.2">
      <c r="A1207" s="61" t="s">
        <v>59</v>
      </c>
      <c r="B1207" s="51" t="s">
        <v>68</v>
      </c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5"/>
      <c r="S1207" s="45"/>
      <c r="T1207" s="45"/>
      <c r="U1207" s="145"/>
      <c r="V1207" s="134"/>
      <c r="W1207" s="134"/>
    </row>
    <row r="1208" spans="1:23" s="43" customFormat="1" ht="12.75" hidden="1" x14ac:dyDescent="0.2">
      <c r="A1208" s="61"/>
      <c r="B1208" s="51" t="s">
        <v>287</v>
      </c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5"/>
      <c r="S1208" s="45"/>
      <c r="T1208" s="45"/>
      <c r="U1208" s="145"/>
      <c r="V1208" s="134"/>
      <c r="W1208" s="134"/>
    </row>
    <row r="1209" spans="1:23" s="43" customFormat="1" ht="12.75" hidden="1" x14ac:dyDescent="0.2">
      <c r="A1209" s="61"/>
      <c r="B1209" s="51" t="s">
        <v>28</v>
      </c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5"/>
      <c r="S1209" s="45"/>
      <c r="T1209" s="45"/>
      <c r="U1209" s="145"/>
      <c r="V1209" s="134"/>
      <c r="W1209" s="134"/>
    </row>
    <row r="1210" spans="1:23" s="43" customFormat="1" ht="12.75" hidden="1" x14ac:dyDescent="0.2">
      <c r="A1210" s="61"/>
      <c r="B1210" s="51" t="s">
        <v>289</v>
      </c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5"/>
      <c r="S1210" s="45"/>
      <c r="T1210" s="45"/>
      <c r="U1210" s="145"/>
      <c r="V1210" s="134"/>
      <c r="W1210" s="134"/>
    </row>
    <row r="1211" spans="1:23" s="43" customFormat="1" ht="38.25" hidden="1" x14ac:dyDescent="0.2">
      <c r="A1211" s="61" t="s">
        <v>60</v>
      </c>
      <c r="B1211" s="51" t="s">
        <v>55</v>
      </c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5"/>
      <c r="S1211" s="45"/>
      <c r="T1211" s="45"/>
      <c r="U1211" s="145"/>
      <c r="V1211" s="134"/>
      <c r="W1211" s="134"/>
    </row>
    <row r="1212" spans="1:23" s="43" customFormat="1" ht="12.75" hidden="1" x14ac:dyDescent="0.2">
      <c r="A1212" s="61"/>
      <c r="B1212" s="51" t="s">
        <v>287</v>
      </c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5"/>
      <c r="S1212" s="45"/>
      <c r="T1212" s="45"/>
      <c r="U1212" s="145"/>
      <c r="V1212" s="134"/>
      <c r="W1212" s="134"/>
    </row>
    <row r="1213" spans="1:23" s="43" customFormat="1" ht="12.75" hidden="1" x14ac:dyDescent="0.2">
      <c r="A1213" s="61"/>
      <c r="B1213" s="51" t="s">
        <v>28</v>
      </c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5"/>
      <c r="S1213" s="45"/>
      <c r="T1213" s="45"/>
      <c r="U1213" s="145"/>
      <c r="V1213" s="134"/>
      <c r="W1213" s="134"/>
    </row>
    <row r="1214" spans="1:23" s="43" customFormat="1" ht="12.75" hidden="1" x14ac:dyDescent="0.2">
      <c r="A1214" s="61"/>
      <c r="B1214" s="51" t="s">
        <v>289</v>
      </c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5"/>
      <c r="S1214" s="45"/>
      <c r="T1214" s="45"/>
      <c r="U1214" s="145"/>
      <c r="V1214" s="134"/>
      <c r="W1214" s="134"/>
    </row>
    <row r="1215" spans="1:23" s="43" customFormat="1" ht="38.25" hidden="1" x14ac:dyDescent="0.2">
      <c r="A1215" s="61" t="s">
        <v>61</v>
      </c>
      <c r="B1215" s="51" t="s">
        <v>56</v>
      </c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5"/>
      <c r="S1215" s="45"/>
      <c r="T1215" s="45"/>
      <c r="U1215" s="145"/>
      <c r="V1215" s="134"/>
      <c r="W1215" s="134"/>
    </row>
    <row r="1216" spans="1:23" s="43" customFormat="1" ht="12.75" hidden="1" x14ac:dyDescent="0.2">
      <c r="A1216" s="61"/>
      <c r="B1216" s="51" t="s">
        <v>287</v>
      </c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5"/>
      <c r="S1216" s="45"/>
      <c r="T1216" s="45"/>
      <c r="U1216" s="145"/>
      <c r="V1216" s="134"/>
      <c r="W1216" s="134"/>
    </row>
    <row r="1217" spans="1:23" s="43" customFormat="1" ht="12.75" hidden="1" x14ac:dyDescent="0.2">
      <c r="A1217" s="61"/>
      <c r="B1217" s="51" t="s">
        <v>28</v>
      </c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5"/>
      <c r="S1217" s="45"/>
      <c r="T1217" s="45"/>
      <c r="U1217" s="145"/>
      <c r="V1217" s="134"/>
      <c r="W1217" s="134"/>
    </row>
    <row r="1218" spans="1:23" s="43" customFormat="1" ht="12.75" hidden="1" x14ac:dyDescent="0.2">
      <c r="A1218" s="61"/>
      <c r="B1218" s="51" t="s">
        <v>289</v>
      </c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5"/>
      <c r="S1218" s="45"/>
      <c r="T1218" s="45"/>
      <c r="U1218" s="145"/>
      <c r="V1218" s="134"/>
      <c r="W1218" s="134"/>
    </row>
    <row r="1219" spans="1:23" s="43" customFormat="1" ht="51" hidden="1" x14ac:dyDescent="0.2">
      <c r="A1219" s="61" t="s">
        <v>62</v>
      </c>
      <c r="B1219" s="51" t="s">
        <v>57</v>
      </c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5"/>
      <c r="S1219" s="45"/>
      <c r="T1219" s="45"/>
      <c r="U1219" s="145"/>
      <c r="V1219" s="134"/>
      <c r="W1219" s="134"/>
    </row>
    <row r="1220" spans="1:23" s="43" customFormat="1" ht="12.75" hidden="1" x14ac:dyDescent="0.2">
      <c r="A1220" s="61"/>
      <c r="B1220" s="51" t="s">
        <v>287</v>
      </c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5"/>
      <c r="S1220" s="45"/>
      <c r="T1220" s="45"/>
      <c r="U1220" s="145"/>
      <c r="V1220" s="134"/>
      <c r="W1220" s="134"/>
    </row>
    <row r="1221" spans="1:23" s="43" customFormat="1" ht="12.75" hidden="1" x14ac:dyDescent="0.2">
      <c r="A1221" s="61"/>
      <c r="B1221" s="51" t="s">
        <v>28</v>
      </c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5"/>
      <c r="S1221" s="45"/>
      <c r="T1221" s="45"/>
      <c r="U1221" s="145"/>
      <c r="V1221" s="134"/>
      <c r="W1221" s="134"/>
    </row>
    <row r="1222" spans="1:23" s="43" customFormat="1" ht="12.75" hidden="1" x14ac:dyDescent="0.2">
      <c r="A1222" s="61"/>
      <c r="B1222" s="51" t="s">
        <v>289</v>
      </c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5"/>
      <c r="S1222" s="45"/>
      <c r="T1222" s="45"/>
      <c r="U1222" s="145"/>
      <c r="V1222" s="134"/>
      <c r="W1222" s="134"/>
    </row>
    <row r="1223" spans="1:23" s="43" customFormat="1" ht="51" hidden="1" x14ac:dyDescent="0.2">
      <c r="A1223" s="61" t="s">
        <v>63</v>
      </c>
      <c r="B1223" s="51" t="s">
        <v>58</v>
      </c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5"/>
      <c r="S1223" s="45"/>
      <c r="T1223" s="45"/>
      <c r="U1223" s="145"/>
      <c r="V1223" s="134"/>
      <c r="W1223" s="134"/>
    </row>
    <row r="1224" spans="1:23" s="43" customFormat="1" ht="12.75" hidden="1" x14ac:dyDescent="0.2">
      <c r="A1224" s="61"/>
      <c r="B1224" s="51" t="s">
        <v>287</v>
      </c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5"/>
      <c r="S1224" s="45"/>
      <c r="T1224" s="45"/>
      <c r="U1224" s="145"/>
      <c r="V1224" s="134"/>
      <c r="W1224" s="134"/>
    </row>
    <row r="1225" spans="1:23" s="43" customFormat="1" ht="12.75" hidden="1" x14ac:dyDescent="0.2">
      <c r="A1225" s="61"/>
      <c r="B1225" s="51" t="s">
        <v>28</v>
      </c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5"/>
      <c r="S1225" s="45"/>
      <c r="T1225" s="45"/>
      <c r="U1225" s="145"/>
      <c r="V1225" s="134"/>
      <c r="W1225" s="134"/>
    </row>
    <row r="1226" spans="1:23" s="43" customFormat="1" ht="12.75" hidden="1" x14ac:dyDescent="0.2">
      <c r="A1226" s="61"/>
      <c r="B1226" s="51" t="s">
        <v>289</v>
      </c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5"/>
      <c r="S1226" s="45"/>
      <c r="T1226" s="45"/>
      <c r="U1226" s="145"/>
      <c r="V1226" s="134"/>
      <c r="W1226" s="134"/>
    </row>
    <row r="1227" spans="1:23" s="43" customFormat="1" ht="38.25" hidden="1" x14ac:dyDescent="0.2">
      <c r="A1227" s="61" t="s">
        <v>64</v>
      </c>
      <c r="B1227" s="51" t="s">
        <v>30</v>
      </c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5"/>
      <c r="S1227" s="45"/>
      <c r="T1227" s="45"/>
      <c r="U1227" s="145"/>
      <c r="V1227" s="134"/>
      <c r="W1227" s="134"/>
    </row>
    <row r="1228" spans="1:23" s="43" customFormat="1" ht="12.75" hidden="1" x14ac:dyDescent="0.2">
      <c r="A1228" s="61"/>
      <c r="B1228" s="51" t="s">
        <v>287</v>
      </c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5"/>
      <c r="S1228" s="45"/>
      <c r="T1228" s="45"/>
      <c r="U1228" s="145"/>
      <c r="V1228" s="134"/>
      <c r="W1228" s="134"/>
    </row>
    <row r="1229" spans="1:23" s="43" customFormat="1" ht="12.75" hidden="1" x14ac:dyDescent="0.2">
      <c r="A1229" s="61"/>
      <c r="B1229" s="51" t="s">
        <v>28</v>
      </c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5"/>
      <c r="S1229" s="45"/>
      <c r="T1229" s="45"/>
      <c r="U1229" s="145"/>
      <c r="V1229" s="134"/>
      <c r="W1229" s="134"/>
    </row>
    <row r="1230" spans="1:23" s="43" customFormat="1" ht="12.75" hidden="1" x14ac:dyDescent="0.2">
      <c r="A1230" s="61"/>
      <c r="B1230" s="51" t="s">
        <v>289</v>
      </c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5"/>
      <c r="S1230" s="45"/>
      <c r="T1230" s="45"/>
      <c r="U1230" s="145"/>
      <c r="V1230" s="134"/>
      <c r="W1230" s="134"/>
    </row>
    <row r="1231" spans="1:23" s="43" customFormat="1" ht="38.25" hidden="1" x14ac:dyDescent="0.2">
      <c r="A1231" s="61"/>
      <c r="B1231" s="51" t="s">
        <v>9</v>
      </c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5"/>
      <c r="S1231" s="45"/>
      <c r="T1231" s="45"/>
      <c r="U1231" s="145"/>
      <c r="V1231" s="134"/>
      <c r="W1231" s="134"/>
    </row>
    <row r="1232" spans="1:23" s="43" customFormat="1" ht="38.25" hidden="1" x14ac:dyDescent="0.2">
      <c r="A1232" s="61"/>
      <c r="B1232" s="51" t="s">
        <v>11</v>
      </c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5"/>
      <c r="S1232" s="45"/>
      <c r="T1232" s="45"/>
      <c r="U1232" s="145"/>
      <c r="V1232" s="134"/>
      <c r="W1232" s="134"/>
    </row>
    <row r="1233" spans="1:23" s="43" customFormat="1" ht="12.75" hidden="1" x14ac:dyDescent="0.2">
      <c r="A1233" s="61"/>
      <c r="B1233" s="51" t="s">
        <v>13</v>
      </c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5"/>
      <c r="S1233" s="45"/>
      <c r="T1233" s="45"/>
      <c r="U1233" s="145"/>
      <c r="V1233" s="134"/>
      <c r="W1233" s="134"/>
    </row>
    <row r="1234" spans="1:23" s="43" customFormat="1" ht="12.75" hidden="1" x14ac:dyDescent="0.2">
      <c r="A1234" s="61"/>
      <c r="B1234" s="61" t="s">
        <v>14</v>
      </c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5"/>
      <c r="S1234" s="45"/>
      <c r="T1234" s="45"/>
      <c r="U1234" s="145"/>
      <c r="V1234" s="134"/>
      <c r="W1234" s="134"/>
    </row>
    <row r="1235" spans="1:23" s="43" customFormat="1" ht="12.75" hidden="1" x14ac:dyDescent="0.2">
      <c r="A1235" s="61"/>
      <c r="B1235" s="61" t="s">
        <v>17</v>
      </c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5"/>
      <c r="S1235" s="45"/>
      <c r="T1235" s="45"/>
      <c r="U1235" s="145"/>
      <c r="V1235" s="134"/>
      <c r="W1235" s="134"/>
    </row>
    <row r="1236" spans="1:23" s="43" customFormat="1" ht="12.75" hidden="1" x14ac:dyDescent="0.2">
      <c r="A1236" s="61"/>
      <c r="B1236" s="61" t="s">
        <v>14</v>
      </c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5"/>
      <c r="S1236" s="45"/>
      <c r="T1236" s="45"/>
      <c r="U1236" s="145"/>
      <c r="V1236" s="134"/>
      <c r="W1236" s="134"/>
    </row>
    <row r="1237" spans="1:23" s="43" customFormat="1" ht="12.75" hidden="1" x14ac:dyDescent="0.2">
      <c r="A1237" s="61" t="s">
        <v>229</v>
      </c>
      <c r="B1237" s="51" t="s">
        <v>13</v>
      </c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5"/>
      <c r="S1237" s="45"/>
      <c r="T1237" s="45"/>
      <c r="U1237" s="145"/>
      <c r="V1237" s="134"/>
      <c r="W1237" s="134"/>
    </row>
    <row r="1238" spans="1:23" s="44" customFormat="1" ht="12.75" hidden="1" x14ac:dyDescent="0.2">
      <c r="A1238" s="56"/>
      <c r="B1238" s="51" t="s">
        <v>27</v>
      </c>
      <c r="C1238" s="58"/>
      <c r="D1238" s="58"/>
      <c r="E1238" s="58"/>
      <c r="F1238" s="42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42"/>
      <c r="R1238" s="73"/>
      <c r="S1238" s="73"/>
      <c r="T1238" s="73"/>
      <c r="U1238" s="145"/>
      <c r="V1238" s="189"/>
      <c r="W1238" s="189"/>
    </row>
    <row r="1239" spans="1:23" s="43" customFormat="1" ht="12.75" hidden="1" x14ac:dyDescent="0.2">
      <c r="A1239" s="61"/>
      <c r="B1239" s="51" t="s">
        <v>28</v>
      </c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5"/>
      <c r="S1239" s="45"/>
      <c r="T1239" s="45"/>
      <c r="U1239" s="145"/>
      <c r="V1239" s="134"/>
      <c r="W1239" s="134"/>
    </row>
    <row r="1240" spans="1:23" s="43" customFormat="1" ht="12.75" hidden="1" x14ac:dyDescent="0.2">
      <c r="A1240" s="61"/>
      <c r="B1240" s="51" t="s">
        <v>29</v>
      </c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5"/>
      <c r="S1240" s="45"/>
      <c r="T1240" s="45"/>
      <c r="U1240" s="145"/>
      <c r="V1240" s="134"/>
      <c r="W1240" s="134"/>
    </row>
    <row r="1241" spans="1:23" s="43" customFormat="1" ht="12.75" hidden="1" x14ac:dyDescent="0.2">
      <c r="B1241" s="51" t="s">
        <v>13</v>
      </c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145"/>
      <c r="V1241" s="134"/>
      <c r="W1241" s="134"/>
    </row>
    <row r="1242" spans="1:23" hidden="1" x14ac:dyDescent="0.25"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</row>
    <row r="1243" spans="1:23" hidden="1" x14ac:dyDescent="0.25"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</row>
    <row r="1244" spans="1:23" hidden="1" x14ac:dyDescent="0.25"/>
    <row r="1246" spans="1:23" x14ac:dyDescent="0.25">
      <c r="E1246" s="49"/>
      <c r="G1246" s="50"/>
    </row>
    <row r="1247" spans="1:23" x14ac:dyDescent="0.25">
      <c r="E1247" s="49"/>
      <c r="G1247" s="50"/>
    </row>
    <row r="1248" spans="1:23" x14ac:dyDescent="0.25">
      <c r="B1248" s="77"/>
      <c r="C1248" s="50"/>
      <c r="E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</row>
    <row r="1250" spans="3:22" x14ac:dyDescent="0.25"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188"/>
      <c r="V1250" s="188"/>
    </row>
    <row r="1252" spans="3:22" x14ac:dyDescent="0.25">
      <c r="R1252" s="49"/>
      <c r="T1252" s="49"/>
    </row>
  </sheetData>
  <mergeCells count="12">
    <mergeCell ref="A4:A5"/>
    <mergeCell ref="B4:B5"/>
    <mergeCell ref="C4:C5"/>
    <mergeCell ref="D4:E4"/>
    <mergeCell ref="T4:T5"/>
    <mergeCell ref="F4:G4"/>
    <mergeCell ref="H4:I4"/>
    <mergeCell ref="J4:K4"/>
    <mergeCell ref="L4:M4"/>
    <mergeCell ref="R4:R5"/>
    <mergeCell ref="S4:S5"/>
    <mergeCell ref="N4:O4"/>
  </mergeCells>
  <phoneticPr fontId="6" type="noConversion"/>
  <pageMargins left="0.17" right="0.17" top="0.17" bottom="0.16" header="0.17" footer="0.16"/>
  <pageSetup paperSize="9" scale="45" orientation="landscape" r:id="rId1"/>
  <headerFooter alignWithMargins="0"/>
  <rowBreaks count="8" manualBreakCount="8">
    <brk id="64" max="16383" man="1"/>
    <brk id="68" max="16383" man="1"/>
    <brk id="133" max="16383" man="1"/>
    <brk id="217" max="16383" man="1"/>
    <brk id="370" max="16383" man="1"/>
    <brk id="730" max="16383" man="1"/>
    <brk id="1179" max="16383" man="1"/>
    <brk id="1247" max="19" man="1"/>
  </rowBreaks>
  <colBreaks count="1" manualBreakCount="1">
    <brk id="20" max="12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AY958"/>
  <sheetViews>
    <sheetView view="pageBreakPreview" zoomScale="62" zoomScaleNormal="75" zoomScaleSheetLayoutView="62" workbookViewId="0">
      <pane xSplit="2" ySplit="5" topLeftCell="C318" activePane="bottomRight" state="frozen"/>
      <selection pane="topRight" activeCell="C1" sqref="C1"/>
      <selection pane="bottomLeft" activeCell="A6" sqref="A6"/>
      <selection pane="bottomRight" activeCell="S383" sqref="S383"/>
    </sheetView>
  </sheetViews>
  <sheetFormatPr defaultRowHeight="12.75" x14ac:dyDescent="0.2"/>
  <cols>
    <col min="1" max="1" width="15.85546875" style="1" customWidth="1"/>
    <col min="2" max="2" width="45.85546875" style="1" customWidth="1"/>
    <col min="3" max="3" width="13" style="1" customWidth="1"/>
    <col min="4" max="4" width="12.42578125" style="1" customWidth="1"/>
    <col min="5" max="5" width="13.5703125" style="1" customWidth="1"/>
    <col min="6" max="6" width="12.5703125" style="1" customWidth="1"/>
    <col min="7" max="7" width="11.140625" style="1" customWidth="1"/>
    <col min="8" max="8" width="15.5703125" style="1" customWidth="1"/>
    <col min="9" max="9" width="12" style="1" customWidth="1"/>
    <col min="10" max="10" width="13.85546875" style="1" customWidth="1"/>
    <col min="11" max="12" width="10.85546875" style="1" customWidth="1"/>
    <col min="13" max="13" width="18.28515625" style="1" customWidth="1"/>
    <col min="14" max="14" width="9.85546875" style="1" customWidth="1"/>
    <col min="15" max="15" width="16.140625" style="1" customWidth="1"/>
    <col min="16" max="16" width="12.5703125" style="199" customWidth="1"/>
    <col min="17" max="75" width="9.140625" style="199"/>
    <col min="76" max="16384" width="9.140625" style="1"/>
  </cols>
  <sheetData>
    <row r="1" spans="1:75" x14ac:dyDescent="0.2">
      <c r="A1" s="11" t="s">
        <v>340</v>
      </c>
      <c r="C1" s="11"/>
      <c r="D1" s="11"/>
      <c r="E1" s="11"/>
      <c r="F1" s="11"/>
      <c r="M1" s="1" t="s">
        <v>18</v>
      </c>
      <c r="N1" s="1" t="s">
        <v>19</v>
      </c>
    </row>
    <row r="2" spans="1:75" hidden="1" x14ac:dyDescent="0.2">
      <c r="A2" s="11"/>
      <c r="C2" s="11"/>
      <c r="D2" s="11"/>
      <c r="E2" s="11"/>
      <c r="F2" s="11"/>
    </row>
    <row r="3" spans="1:75" hidden="1" x14ac:dyDescent="0.2"/>
    <row r="4" spans="1:75" ht="30" customHeight="1" x14ac:dyDescent="0.2">
      <c r="A4" s="164" t="s">
        <v>0</v>
      </c>
      <c r="B4" s="165" t="s">
        <v>1</v>
      </c>
      <c r="C4" s="165" t="s">
        <v>336</v>
      </c>
      <c r="D4" s="159" t="s">
        <v>2</v>
      </c>
      <c r="E4" s="159"/>
      <c r="F4" s="160" t="s">
        <v>3</v>
      </c>
      <c r="G4" s="161"/>
      <c r="H4" s="159" t="s">
        <v>277</v>
      </c>
      <c r="I4" s="159"/>
      <c r="J4" s="159" t="s">
        <v>279</v>
      </c>
      <c r="K4" s="159"/>
      <c r="L4" s="162" t="s">
        <v>46</v>
      </c>
      <c r="M4" s="159" t="s">
        <v>268</v>
      </c>
      <c r="N4" s="159" t="s">
        <v>5</v>
      </c>
      <c r="O4" s="160" t="s">
        <v>26</v>
      </c>
    </row>
    <row r="5" spans="1:75" ht="82.5" customHeight="1" x14ac:dyDescent="0.2">
      <c r="A5" s="164"/>
      <c r="B5" s="164"/>
      <c r="C5" s="164"/>
      <c r="D5" s="3" t="s">
        <v>20</v>
      </c>
      <c r="E5" s="3" t="s">
        <v>21</v>
      </c>
      <c r="F5" s="3" t="s">
        <v>22</v>
      </c>
      <c r="G5" s="3" t="s">
        <v>21</v>
      </c>
      <c r="H5" s="3" t="s">
        <v>24</v>
      </c>
      <c r="I5" s="3" t="s">
        <v>278</v>
      </c>
      <c r="J5" s="3" t="s">
        <v>24</v>
      </c>
      <c r="K5" s="3" t="s">
        <v>25</v>
      </c>
      <c r="L5" s="163"/>
      <c r="M5" s="159"/>
      <c r="N5" s="159"/>
      <c r="O5" s="160"/>
    </row>
    <row r="6" spans="1:75" s="11" customFormat="1" x14ac:dyDescent="0.2">
      <c r="A6" s="4" t="s">
        <v>6</v>
      </c>
      <c r="B6" s="18" t="s">
        <v>176</v>
      </c>
      <c r="C6" s="4">
        <f>SUM(C7:C10)</f>
        <v>354</v>
      </c>
      <c r="D6" s="4"/>
      <c r="E6" s="32">
        <f>SUM(E7:E10)</f>
        <v>11113157</v>
      </c>
      <c r="F6" s="4"/>
      <c r="G6" s="32">
        <f>SUM(G7:G10)</f>
        <v>1163597</v>
      </c>
      <c r="H6" s="4"/>
      <c r="I6" s="4"/>
      <c r="J6" s="4"/>
      <c r="K6" s="32">
        <f>SUM(K7:K10)</f>
        <v>4082217.4221199998</v>
      </c>
      <c r="L6" s="32">
        <f>SUM(L7:L10)</f>
        <v>250591.51934</v>
      </c>
      <c r="M6" s="32">
        <f>SUM(M7:M10)</f>
        <v>16358971.422119999</v>
      </c>
      <c r="N6" s="4"/>
      <c r="O6" s="190">
        <f>SUM(O7:O10)</f>
        <v>16358971.422119999</v>
      </c>
      <c r="P6" s="200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</row>
    <row r="7" spans="1:75" ht="36.75" customHeight="1" x14ac:dyDescent="0.2">
      <c r="A7" s="6" t="s">
        <v>8</v>
      </c>
      <c r="B7" s="14" t="s">
        <v>226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91"/>
      <c r="P7" s="200"/>
    </row>
    <row r="8" spans="1:75" x14ac:dyDescent="0.2">
      <c r="A8" s="6"/>
      <c r="B8" s="10" t="s">
        <v>280</v>
      </c>
      <c r="C8" s="6">
        <v>104</v>
      </c>
      <c r="D8" s="31">
        <v>25796</v>
      </c>
      <c r="E8" s="42">
        <f>C8*D8</f>
        <v>2682784</v>
      </c>
      <c r="F8" s="31">
        <f>ROUND((D8*10.47143%),0)</f>
        <v>2701</v>
      </c>
      <c r="G8" s="31">
        <f>ROUND((C8*F8),0)</f>
        <v>280904</v>
      </c>
      <c r="H8" s="31">
        <v>9188.07</v>
      </c>
      <c r="I8" s="41">
        <v>1.254</v>
      </c>
      <c r="J8" s="31">
        <f>H8*I8</f>
        <v>11521.83978</v>
      </c>
      <c r="K8" s="31">
        <f>C8*J8+3486.14</f>
        <v>1201757.4771199999</v>
      </c>
      <c r="L8" s="31">
        <f>D8+F8+J8</f>
        <v>40018.839780000002</v>
      </c>
      <c r="M8" s="31">
        <f>E8+G8+K8</f>
        <v>4165445.4771199999</v>
      </c>
      <c r="N8" s="31"/>
      <c r="O8" s="192">
        <f>M8+N8</f>
        <v>4165445.4771199999</v>
      </c>
      <c r="P8" s="200"/>
    </row>
    <row r="9" spans="1:75" x14ac:dyDescent="0.2">
      <c r="A9" s="6"/>
      <c r="B9" s="10" t="s">
        <v>309</v>
      </c>
      <c r="C9" s="6">
        <v>243</v>
      </c>
      <c r="D9" s="42">
        <v>30686</v>
      </c>
      <c r="E9" s="31">
        <f>C9*D9+199</f>
        <v>7456897</v>
      </c>
      <c r="F9" s="31">
        <f>ROUND((D9*10.47143%),0)</f>
        <v>3213</v>
      </c>
      <c r="G9" s="31">
        <f t="shared" ref="G9:G10" si="0">ROUND((C9*F9),0)</f>
        <v>780759</v>
      </c>
      <c r="H9" s="31">
        <v>9188.07</v>
      </c>
      <c r="I9" s="41">
        <v>1.254</v>
      </c>
      <c r="J9" s="31">
        <f t="shared" ref="J9:J10" si="1">H9*I9</f>
        <v>11521.83978</v>
      </c>
      <c r="K9" s="31">
        <f>C9*J9</f>
        <v>2799807.06654</v>
      </c>
      <c r="L9" s="31">
        <f t="shared" ref="L9:M10" si="2">D9+F9+J9</f>
        <v>45420.839780000002</v>
      </c>
      <c r="M9" s="31">
        <f t="shared" si="2"/>
        <v>11037463.066539999</v>
      </c>
      <c r="N9" s="31"/>
      <c r="O9" s="192">
        <f t="shared" ref="O9:O10" si="3">M9+N9</f>
        <v>11037463.066539999</v>
      </c>
      <c r="P9" s="200"/>
    </row>
    <row r="10" spans="1:75" ht="25.5" x14ac:dyDescent="0.2">
      <c r="A10" s="6"/>
      <c r="B10" s="7" t="s">
        <v>303</v>
      </c>
      <c r="C10" s="6">
        <v>7</v>
      </c>
      <c r="D10" s="31">
        <v>139068</v>
      </c>
      <c r="E10" s="31">
        <f t="shared" ref="E10" si="4">C10*D10</f>
        <v>973476</v>
      </c>
      <c r="F10" s="31">
        <f>ROUND((D10*10.47143%),0)</f>
        <v>14562</v>
      </c>
      <c r="G10" s="31">
        <f t="shared" si="0"/>
        <v>101934</v>
      </c>
      <c r="H10" s="31">
        <v>9188.07</v>
      </c>
      <c r="I10" s="41">
        <v>1.254</v>
      </c>
      <c r="J10" s="31">
        <f t="shared" si="1"/>
        <v>11521.83978</v>
      </c>
      <c r="K10" s="31">
        <f t="shared" ref="K10" si="5">C10*J10</f>
        <v>80652.878460000007</v>
      </c>
      <c r="L10" s="31">
        <f t="shared" si="2"/>
        <v>165151.83978000001</v>
      </c>
      <c r="M10" s="31">
        <f t="shared" si="2"/>
        <v>1156062.87846</v>
      </c>
      <c r="N10" s="31"/>
      <c r="O10" s="192">
        <f t="shared" si="3"/>
        <v>1156062.87846</v>
      </c>
      <c r="P10" s="200"/>
    </row>
    <row r="11" spans="1:75" ht="51" hidden="1" x14ac:dyDescent="0.2">
      <c r="A11" s="6" t="s">
        <v>10</v>
      </c>
      <c r="B11" s="15" t="s">
        <v>163</v>
      </c>
      <c r="C11" s="6"/>
      <c r="D11" s="31"/>
      <c r="E11" s="31"/>
      <c r="F11" s="31"/>
      <c r="G11" s="31"/>
      <c r="H11" s="31">
        <v>9188.07</v>
      </c>
      <c r="I11" s="41">
        <v>1.2</v>
      </c>
      <c r="J11" s="31">
        <f t="shared" ref="J11:J19" si="6">H11*I11+53</f>
        <v>11078.683999999999</v>
      </c>
      <c r="K11" s="31"/>
      <c r="L11" s="31"/>
      <c r="M11" s="31"/>
      <c r="N11" s="31"/>
      <c r="O11" s="192"/>
      <c r="P11" s="200"/>
    </row>
    <row r="12" spans="1:75" hidden="1" x14ac:dyDescent="0.2">
      <c r="A12" s="6"/>
      <c r="B12" s="103" t="s">
        <v>91</v>
      </c>
      <c r="C12" s="6"/>
      <c r="D12" s="31"/>
      <c r="E12" s="31"/>
      <c r="F12" s="31"/>
      <c r="G12" s="31"/>
      <c r="H12" s="31">
        <v>9188.07</v>
      </c>
      <c r="I12" s="41">
        <v>1.2</v>
      </c>
      <c r="J12" s="31">
        <f t="shared" si="6"/>
        <v>11078.683999999999</v>
      </c>
      <c r="K12" s="31"/>
      <c r="L12" s="31"/>
      <c r="M12" s="31"/>
      <c r="N12" s="31"/>
      <c r="O12" s="192"/>
      <c r="P12" s="200"/>
    </row>
    <row r="13" spans="1:75" hidden="1" x14ac:dyDescent="0.2">
      <c r="A13" s="6"/>
      <c r="B13" s="7" t="s">
        <v>92</v>
      </c>
      <c r="C13" s="6"/>
      <c r="D13" s="31"/>
      <c r="E13" s="31"/>
      <c r="F13" s="31"/>
      <c r="G13" s="31"/>
      <c r="H13" s="31">
        <v>9188.07</v>
      </c>
      <c r="I13" s="41">
        <v>1.2</v>
      </c>
      <c r="J13" s="31">
        <f t="shared" si="6"/>
        <v>11078.683999999999</v>
      </c>
      <c r="K13" s="31"/>
      <c r="L13" s="31"/>
      <c r="M13" s="31"/>
      <c r="N13" s="31"/>
      <c r="O13" s="192"/>
      <c r="P13" s="200"/>
    </row>
    <row r="14" spans="1:75" hidden="1" x14ac:dyDescent="0.2">
      <c r="A14" s="6"/>
      <c r="B14" s="103" t="s">
        <v>156</v>
      </c>
      <c r="C14" s="6"/>
      <c r="D14" s="31"/>
      <c r="E14" s="31"/>
      <c r="F14" s="31"/>
      <c r="G14" s="31"/>
      <c r="H14" s="31">
        <v>9188.07</v>
      </c>
      <c r="I14" s="41">
        <v>1.2</v>
      </c>
      <c r="J14" s="31">
        <f t="shared" si="6"/>
        <v>11078.683999999999</v>
      </c>
      <c r="K14" s="31"/>
      <c r="L14" s="31"/>
      <c r="M14" s="31"/>
      <c r="N14" s="31"/>
      <c r="O14" s="192"/>
      <c r="P14" s="200"/>
    </row>
    <row r="15" spans="1:75" hidden="1" x14ac:dyDescent="0.2">
      <c r="A15" s="6"/>
      <c r="B15" s="7" t="s">
        <v>157</v>
      </c>
      <c r="C15" s="6"/>
      <c r="D15" s="31"/>
      <c r="E15" s="31"/>
      <c r="F15" s="31"/>
      <c r="G15" s="31"/>
      <c r="H15" s="31">
        <v>9188.07</v>
      </c>
      <c r="I15" s="41">
        <v>1.2</v>
      </c>
      <c r="J15" s="31">
        <f t="shared" si="6"/>
        <v>11078.683999999999</v>
      </c>
      <c r="K15" s="31"/>
      <c r="L15" s="31"/>
      <c r="M15" s="31"/>
      <c r="N15" s="31"/>
      <c r="O15" s="192"/>
      <c r="P15" s="200"/>
    </row>
    <row r="16" spans="1:75" ht="51" hidden="1" x14ac:dyDescent="0.2">
      <c r="A16" s="6" t="s">
        <v>12</v>
      </c>
      <c r="B16" s="14" t="s">
        <v>155</v>
      </c>
      <c r="C16" s="6"/>
      <c r="D16" s="31"/>
      <c r="E16" s="31"/>
      <c r="F16" s="31"/>
      <c r="G16" s="31"/>
      <c r="H16" s="31">
        <v>9188.07</v>
      </c>
      <c r="I16" s="41">
        <v>1.2</v>
      </c>
      <c r="J16" s="31">
        <f t="shared" si="6"/>
        <v>11078.683999999999</v>
      </c>
      <c r="K16" s="31"/>
      <c r="L16" s="31"/>
      <c r="M16" s="31"/>
      <c r="N16" s="31"/>
      <c r="O16" s="192"/>
      <c r="P16" s="200"/>
    </row>
    <row r="17" spans="1:75" hidden="1" x14ac:dyDescent="0.2">
      <c r="A17" s="6"/>
      <c r="B17" s="10" t="s">
        <v>91</v>
      </c>
      <c r="C17" s="6"/>
      <c r="D17" s="31"/>
      <c r="E17" s="31"/>
      <c r="F17" s="31"/>
      <c r="G17" s="31"/>
      <c r="H17" s="31">
        <v>9188.07</v>
      </c>
      <c r="I17" s="41">
        <v>1.2</v>
      </c>
      <c r="J17" s="31">
        <f t="shared" si="6"/>
        <v>11078.683999999999</v>
      </c>
      <c r="K17" s="31"/>
      <c r="L17" s="31"/>
      <c r="M17" s="31"/>
      <c r="N17" s="31"/>
      <c r="O17" s="192"/>
      <c r="P17" s="200"/>
    </row>
    <row r="18" spans="1:75" hidden="1" x14ac:dyDescent="0.2">
      <c r="A18" s="6"/>
      <c r="B18" s="7" t="s">
        <v>92</v>
      </c>
      <c r="C18" s="6"/>
      <c r="D18" s="31"/>
      <c r="E18" s="31"/>
      <c r="F18" s="31"/>
      <c r="G18" s="31"/>
      <c r="H18" s="31">
        <v>9188.07</v>
      </c>
      <c r="I18" s="41">
        <v>1.2</v>
      </c>
      <c r="J18" s="31">
        <f t="shared" si="6"/>
        <v>11078.683999999999</v>
      </c>
      <c r="K18" s="31"/>
      <c r="L18" s="31"/>
      <c r="M18" s="31"/>
      <c r="N18" s="31"/>
      <c r="O18" s="192"/>
      <c r="P18" s="200"/>
    </row>
    <row r="19" spans="1:75" ht="38.25" hidden="1" x14ac:dyDescent="0.2">
      <c r="A19" s="6" t="s">
        <v>53</v>
      </c>
      <c r="B19" s="14" t="s">
        <v>158</v>
      </c>
      <c r="C19" s="6"/>
      <c r="D19" s="31"/>
      <c r="E19" s="31"/>
      <c r="F19" s="31"/>
      <c r="G19" s="31"/>
      <c r="H19" s="31">
        <v>9188.07</v>
      </c>
      <c r="I19" s="41">
        <v>1.2</v>
      </c>
      <c r="J19" s="31">
        <f t="shared" si="6"/>
        <v>11078.683999999999</v>
      </c>
      <c r="K19" s="31"/>
      <c r="L19" s="31"/>
      <c r="M19" s="31"/>
      <c r="N19" s="31"/>
      <c r="O19" s="192"/>
      <c r="P19" s="200"/>
    </row>
    <row r="20" spans="1:75" s="11" customFormat="1" x14ac:dyDescent="0.2">
      <c r="A20" s="4" t="s">
        <v>164</v>
      </c>
      <c r="B20" s="5" t="s">
        <v>159</v>
      </c>
      <c r="C20" s="4">
        <f>SUM(C21:C24)</f>
        <v>420</v>
      </c>
      <c r="D20" s="32"/>
      <c r="E20" s="32">
        <f>SUM(E21:E24)</f>
        <v>14146223</v>
      </c>
      <c r="F20" s="32"/>
      <c r="G20" s="32">
        <f>SUM(G21:G24)</f>
        <v>1481235</v>
      </c>
      <c r="H20" s="31"/>
      <c r="I20" s="47"/>
      <c r="J20" s="31"/>
      <c r="K20" s="32">
        <f>SUM(K21:K24)</f>
        <v>4839172.7076000003</v>
      </c>
      <c r="L20" s="32">
        <f>SUM(L21:L24)</f>
        <v>295771.51934</v>
      </c>
      <c r="M20" s="32">
        <f>SUM(M21:M24)</f>
        <v>20466630.707600001</v>
      </c>
      <c r="N20" s="32"/>
      <c r="O20" s="190">
        <f>SUM(O21:O24)</f>
        <v>20466630.707600001</v>
      </c>
      <c r="P20" s="200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</row>
    <row r="21" spans="1:75" ht="42" customHeight="1" x14ac:dyDescent="0.2">
      <c r="A21" s="6" t="s">
        <v>15</v>
      </c>
      <c r="B21" s="14" t="s">
        <v>227</v>
      </c>
      <c r="C21" s="6"/>
      <c r="D21" s="31"/>
      <c r="E21" s="31"/>
      <c r="F21" s="31"/>
      <c r="G21" s="31"/>
      <c r="H21" s="31"/>
      <c r="I21" s="41"/>
      <c r="J21" s="31"/>
      <c r="K21" s="31"/>
      <c r="L21" s="31"/>
      <c r="M21" s="31"/>
      <c r="N21" s="31"/>
      <c r="O21" s="192"/>
      <c r="P21" s="200"/>
    </row>
    <row r="22" spans="1:75" x14ac:dyDescent="0.2">
      <c r="A22" s="6"/>
      <c r="B22" s="103" t="s">
        <v>280</v>
      </c>
      <c r="C22" s="6">
        <v>19</v>
      </c>
      <c r="D22" s="31">
        <v>31306</v>
      </c>
      <c r="E22" s="31">
        <f>C22*D22</f>
        <v>594814</v>
      </c>
      <c r="F22" s="31">
        <f>ROUND((D22*10.47143%),0)</f>
        <v>3278</v>
      </c>
      <c r="G22" s="31">
        <f t="shared" ref="G22:G24" si="7">ROUND((C22*F22),0)</f>
        <v>62282</v>
      </c>
      <c r="H22" s="31">
        <v>9188.07</v>
      </c>
      <c r="I22" s="41">
        <v>1.254</v>
      </c>
      <c r="J22" s="31">
        <f>H22*I22</f>
        <v>11521.83978</v>
      </c>
      <c r="K22" s="31">
        <f>C22*J22</f>
        <v>218914.95582</v>
      </c>
      <c r="L22" s="31">
        <f t="shared" ref="L22:M24" si="8">D22+F22+J22</f>
        <v>46105.839780000002</v>
      </c>
      <c r="M22" s="31">
        <f t="shared" si="8"/>
        <v>876010.95582000003</v>
      </c>
      <c r="N22" s="31"/>
      <c r="O22" s="192">
        <f t="shared" ref="O22:O24" si="9">M22+N22</f>
        <v>876010.95582000003</v>
      </c>
      <c r="P22" s="200"/>
    </row>
    <row r="23" spans="1:75" x14ac:dyDescent="0.2">
      <c r="A23" s="6"/>
      <c r="B23" s="10" t="s">
        <v>309</v>
      </c>
      <c r="C23" s="6">
        <v>394</v>
      </c>
      <c r="D23" s="31">
        <v>31306</v>
      </c>
      <c r="E23" s="31">
        <f t="shared" ref="E23:E24" si="10">C23*D23</f>
        <v>12334564</v>
      </c>
      <c r="F23" s="31">
        <f>ROUND((D23*10.47143%),0)</f>
        <v>3278</v>
      </c>
      <c r="G23" s="31">
        <f t="shared" si="7"/>
        <v>1291532</v>
      </c>
      <c r="H23" s="31">
        <v>9188.07</v>
      </c>
      <c r="I23" s="41">
        <v>1.254</v>
      </c>
      <c r="J23" s="31">
        <f t="shared" ref="J23:J24" si="11">H23*I23</f>
        <v>11521.83978</v>
      </c>
      <c r="K23" s="31">
        <f t="shared" ref="K23:K24" si="12">C23*J23</f>
        <v>4539604.8733200002</v>
      </c>
      <c r="L23" s="31">
        <f t="shared" si="8"/>
        <v>46105.839780000002</v>
      </c>
      <c r="M23" s="31">
        <f>E23+G23+K23</f>
        <v>18165700.873319998</v>
      </c>
      <c r="N23" s="31"/>
      <c r="O23" s="192">
        <f t="shared" si="9"/>
        <v>18165700.873319998</v>
      </c>
      <c r="P23" s="200"/>
    </row>
    <row r="24" spans="1:75" ht="25.5" x14ac:dyDescent="0.2">
      <c r="A24" s="6"/>
      <c r="B24" s="7" t="s">
        <v>308</v>
      </c>
      <c r="C24" s="6">
        <v>7</v>
      </c>
      <c r="D24" s="31">
        <v>173835</v>
      </c>
      <c r="E24" s="31">
        <f t="shared" si="10"/>
        <v>1216845</v>
      </c>
      <c r="F24" s="31">
        <f>ROUND((D24*10.47143%),0)</f>
        <v>18203</v>
      </c>
      <c r="G24" s="31">
        <f t="shared" si="7"/>
        <v>127421</v>
      </c>
      <c r="H24" s="31">
        <v>9188.07</v>
      </c>
      <c r="I24" s="41">
        <v>1.254</v>
      </c>
      <c r="J24" s="31">
        <f t="shared" si="11"/>
        <v>11521.83978</v>
      </c>
      <c r="K24" s="31">
        <f t="shared" si="12"/>
        <v>80652.878460000007</v>
      </c>
      <c r="L24" s="31">
        <f t="shared" si="8"/>
        <v>203559.83978000001</v>
      </c>
      <c r="M24" s="31">
        <f t="shared" si="8"/>
        <v>1424918.87846</v>
      </c>
      <c r="N24" s="31"/>
      <c r="O24" s="192">
        <f t="shared" si="9"/>
        <v>1424918.87846</v>
      </c>
      <c r="P24" s="200"/>
    </row>
    <row r="25" spans="1:75" hidden="1" x14ac:dyDescent="0.2">
      <c r="A25" s="6"/>
      <c r="B25" s="103" t="s">
        <v>156</v>
      </c>
      <c r="C25" s="6"/>
      <c r="D25" s="31"/>
      <c r="E25" s="31"/>
      <c r="F25" s="31"/>
      <c r="G25" s="31"/>
      <c r="H25" s="31"/>
      <c r="I25" s="41">
        <v>1.375</v>
      </c>
      <c r="J25" s="31"/>
      <c r="K25" s="31"/>
      <c r="L25" s="31"/>
      <c r="M25" s="31"/>
      <c r="N25" s="31"/>
      <c r="O25" s="192"/>
      <c r="P25" s="200"/>
    </row>
    <row r="26" spans="1:75" hidden="1" x14ac:dyDescent="0.2">
      <c r="A26" s="6"/>
      <c r="B26" s="7" t="s">
        <v>157</v>
      </c>
      <c r="C26" s="6"/>
      <c r="D26" s="31"/>
      <c r="E26" s="31"/>
      <c r="F26" s="31"/>
      <c r="G26" s="31"/>
      <c r="H26" s="31"/>
      <c r="I26" s="41">
        <v>1.375</v>
      </c>
      <c r="J26" s="31"/>
      <c r="K26" s="31"/>
      <c r="L26" s="31"/>
      <c r="M26" s="31"/>
      <c r="N26" s="31"/>
      <c r="O26" s="192"/>
      <c r="P26" s="200"/>
    </row>
    <row r="27" spans="1:75" ht="54" hidden="1" customHeight="1" x14ac:dyDescent="0.2">
      <c r="A27" s="6" t="s">
        <v>59</v>
      </c>
      <c r="B27" s="15" t="s">
        <v>161</v>
      </c>
      <c r="C27" s="6"/>
      <c r="D27" s="31"/>
      <c r="E27" s="31"/>
      <c r="F27" s="31"/>
      <c r="G27" s="31"/>
      <c r="H27" s="31"/>
      <c r="I27" s="41">
        <v>1.375</v>
      </c>
      <c r="J27" s="31"/>
      <c r="K27" s="31"/>
      <c r="L27" s="31"/>
      <c r="M27" s="31"/>
      <c r="N27" s="31"/>
      <c r="O27" s="192"/>
      <c r="P27" s="200"/>
    </row>
    <row r="28" spans="1:75" hidden="1" x14ac:dyDescent="0.2">
      <c r="A28" s="6"/>
      <c r="B28" s="103" t="s">
        <v>91</v>
      </c>
      <c r="C28" s="6"/>
      <c r="D28" s="31"/>
      <c r="E28" s="31"/>
      <c r="F28" s="31"/>
      <c r="G28" s="31"/>
      <c r="H28" s="31"/>
      <c r="I28" s="41">
        <v>1.375</v>
      </c>
      <c r="J28" s="31"/>
      <c r="K28" s="31"/>
      <c r="L28" s="31"/>
      <c r="M28" s="31"/>
      <c r="N28" s="31"/>
      <c r="O28" s="192"/>
      <c r="P28" s="200"/>
    </row>
    <row r="29" spans="1:75" hidden="1" x14ac:dyDescent="0.2">
      <c r="A29" s="6"/>
      <c r="B29" s="7" t="s">
        <v>92</v>
      </c>
      <c r="C29" s="6"/>
      <c r="D29" s="31"/>
      <c r="E29" s="31"/>
      <c r="F29" s="31"/>
      <c r="G29" s="31"/>
      <c r="H29" s="31"/>
      <c r="I29" s="41">
        <v>1.375</v>
      </c>
      <c r="J29" s="31"/>
      <c r="K29" s="31"/>
      <c r="L29" s="31"/>
      <c r="M29" s="31"/>
      <c r="N29" s="31"/>
      <c r="O29" s="192"/>
      <c r="P29" s="200"/>
    </row>
    <row r="30" spans="1:75" hidden="1" x14ac:dyDescent="0.2">
      <c r="A30" s="6"/>
      <c r="B30" s="103" t="s">
        <v>156</v>
      </c>
      <c r="C30" s="6"/>
      <c r="D30" s="31"/>
      <c r="E30" s="31"/>
      <c r="F30" s="31"/>
      <c r="G30" s="31"/>
      <c r="H30" s="31"/>
      <c r="I30" s="41">
        <v>1.375</v>
      </c>
      <c r="J30" s="31"/>
      <c r="K30" s="31"/>
      <c r="L30" s="31"/>
      <c r="M30" s="31"/>
      <c r="N30" s="31"/>
      <c r="O30" s="192"/>
      <c r="P30" s="200"/>
    </row>
    <row r="31" spans="1:75" hidden="1" x14ac:dyDescent="0.2">
      <c r="A31" s="6"/>
      <c r="B31" s="7" t="s">
        <v>157</v>
      </c>
      <c r="C31" s="6"/>
      <c r="D31" s="31"/>
      <c r="E31" s="31"/>
      <c r="F31" s="31"/>
      <c r="G31" s="31"/>
      <c r="H31" s="31"/>
      <c r="I31" s="41">
        <v>1.375</v>
      </c>
      <c r="J31" s="31"/>
      <c r="K31" s="31"/>
      <c r="L31" s="31"/>
      <c r="M31" s="31"/>
      <c r="N31" s="31"/>
      <c r="O31" s="192"/>
      <c r="P31" s="200"/>
    </row>
    <row r="32" spans="1:75" ht="51" hidden="1" x14ac:dyDescent="0.2">
      <c r="A32" s="6" t="s">
        <v>60</v>
      </c>
      <c r="B32" s="15" t="s">
        <v>163</v>
      </c>
      <c r="C32" s="6"/>
      <c r="D32" s="31"/>
      <c r="E32" s="31"/>
      <c r="F32" s="31"/>
      <c r="G32" s="31"/>
      <c r="H32" s="31"/>
      <c r="I32" s="41">
        <v>1.375</v>
      </c>
      <c r="J32" s="31"/>
      <c r="K32" s="31"/>
      <c r="L32" s="31"/>
      <c r="M32" s="31"/>
      <c r="N32" s="31"/>
      <c r="O32" s="192"/>
      <c r="P32" s="200"/>
    </row>
    <row r="33" spans="1:75" hidden="1" x14ac:dyDescent="0.2">
      <c r="A33" s="6"/>
      <c r="B33" s="103" t="s">
        <v>91</v>
      </c>
      <c r="C33" s="6"/>
      <c r="D33" s="31"/>
      <c r="E33" s="31"/>
      <c r="F33" s="31"/>
      <c r="G33" s="31"/>
      <c r="H33" s="31"/>
      <c r="I33" s="41">
        <v>1.375</v>
      </c>
      <c r="J33" s="31"/>
      <c r="K33" s="31"/>
      <c r="L33" s="31"/>
      <c r="M33" s="31"/>
      <c r="N33" s="31"/>
      <c r="O33" s="192"/>
      <c r="P33" s="200"/>
    </row>
    <row r="34" spans="1:75" hidden="1" x14ac:dyDescent="0.2">
      <c r="A34" s="6"/>
      <c r="B34" s="7" t="s">
        <v>92</v>
      </c>
      <c r="C34" s="6"/>
      <c r="D34" s="31"/>
      <c r="E34" s="31"/>
      <c r="F34" s="31"/>
      <c r="G34" s="31"/>
      <c r="H34" s="31"/>
      <c r="I34" s="41">
        <v>1.375</v>
      </c>
      <c r="J34" s="31"/>
      <c r="K34" s="31"/>
      <c r="L34" s="31"/>
      <c r="M34" s="31"/>
      <c r="N34" s="31"/>
      <c r="O34" s="192"/>
      <c r="P34" s="200"/>
    </row>
    <row r="35" spans="1:75" hidden="1" x14ac:dyDescent="0.2">
      <c r="A35" s="6"/>
      <c r="B35" s="103" t="s">
        <v>156</v>
      </c>
      <c r="C35" s="6"/>
      <c r="D35" s="31"/>
      <c r="E35" s="31"/>
      <c r="F35" s="31"/>
      <c r="G35" s="31"/>
      <c r="H35" s="31"/>
      <c r="I35" s="41">
        <v>1.375</v>
      </c>
      <c r="J35" s="31"/>
      <c r="K35" s="31"/>
      <c r="L35" s="31"/>
      <c r="M35" s="31"/>
      <c r="N35" s="31"/>
      <c r="O35" s="192"/>
      <c r="P35" s="200"/>
    </row>
    <row r="36" spans="1:75" hidden="1" x14ac:dyDescent="0.2">
      <c r="A36" s="6"/>
      <c r="B36" s="7" t="s">
        <v>157</v>
      </c>
      <c r="C36" s="6"/>
      <c r="D36" s="31"/>
      <c r="E36" s="31"/>
      <c r="F36" s="31"/>
      <c r="G36" s="31"/>
      <c r="H36" s="31"/>
      <c r="I36" s="41">
        <v>1.375</v>
      </c>
      <c r="J36" s="31"/>
      <c r="K36" s="31"/>
      <c r="L36" s="31"/>
      <c r="M36" s="31"/>
      <c r="N36" s="31"/>
      <c r="O36" s="192"/>
      <c r="P36" s="200"/>
    </row>
    <row r="37" spans="1:75" ht="38.25" hidden="1" x14ac:dyDescent="0.2">
      <c r="A37" s="6" t="s">
        <v>61</v>
      </c>
      <c r="B37" s="103" t="s">
        <v>162</v>
      </c>
      <c r="C37" s="6"/>
      <c r="D37" s="31"/>
      <c r="E37" s="31"/>
      <c r="F37" s="31"/>
      <c r="G37" s="31"/>
      <c r="H37" s="31"/>
      <c r="I37" s="41">
        <v>1.375</v>
      </c>
      <c r="J37" s="31"/>
      <c r="K37" s="31"/>
      <c r="L37" s="31"/>
      <c r="M37" s="31"/>
      <c r="N37" s="31"/>
      <c r="O37" s="192"/>
      <c r="P37" s="200"/>
    </row>
    <row r="38" spans="1:75" s="11" customFormat="1" x14ac:dyDescent="0.2">
      <c r="A38" s="4">
        <v>3</v>
      </c>
      <c r="B38" s="5" t="s">
        <v>165</v>
      </c>
      <c r="C38" s="4">
        <f>SUM(C39:C40)</f>
        <v>57</v>
      </c>
      <c r="D38" s="32"/>
      <c r="E38" s="32">
        <f>SUM(E39:E40)</f>
        <v>2019966</v>
      </c>
      <c r="F38" s="32"/>
      <c r="G38" s="32">
        <f>SUM(G39:G40)</f>
        <v>211527</v>
      </c>
      <c r="H38" s="31"/>
      <c r="I38" s="47"/>
      <c r="J38" s="31"/>
      <c r="K38" s="32">
        <f>SUM(K39:K40)</f>
        <v>656744.86745999998</v>
      </c>
      <c r="L38" s="32">
        <f>SUM(L39:L40)</f>
        <v>50670.839780000002</v>
      </c>
      <c r="M38" s="32">
        <f>SUM(M39:M40)</f>
        <v>2888237.8674599999</v>
      </c>
      <c r="N38" s="32"/>
      <c r="O38" s="190">
        <f>SUM(O39:O40)</f>
        <v>2888237.8674599999</v>
      </c>
      <c r="P38" s="200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</row>
    <row r="39" spans="1:75" ht="40.5" customHeight="1" x14ac:dyDescent="0.2">
      <c r="A39" s="6" t="s">
        <v>93</v>
      </c>
      <c r="B39" s="14" t="s">
        <v>228</v>
      </c>
      <c r="C39" s="6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192"/>
      <c r="P39" s="200"/>
    </row>
    <row r="40" spans="1:75" x14ac:dyDescent="0.2">
      <c r="A40" s="6"/>
      <c r="B40" s="103" t="s">
        <v>280</v>
      </c>
      <c r="C40" s="6">
        <v>57</v>
      </c>
      <c r="D40" s="31">
        <v>35438</v>
      </c>
      <c r="E40" s="31">
        <f>C40*D40</f>
        <v>2019966</v>
      </c>
      <c r="F40" s="31">
        <f>ROUND((D40*10.47143%),0)</f>
        <v>3711</v>
      </c>
      <c r="G40" s="31">
        <f>ROUND((C40*F40),0)</f>
        <v>211527</v>
      </c>
      <c r="H40" s="31">
        <v>9188.07</v>
      </c>
      <c r="I40" s="41">
        <v>1.254</v>
      </c>
      <c r="J40" s="31">
        <f>H40*I40</f>
        <v>11521.83978</v>
      </c>
      <c r="K40" s="31">
        <f>C40*J40</f>
        <v>656744.86745999998</v>
      </c>
      <c r="L40" s="31">
        <f t="shared" ref="L40:M40" si="13">D40+F40+J40</f>
        <v>50670.839780000002</v>
      </c>
      <c r="M40" s="31">
        <f t="shared" si="13"/>
        <v>2888237.8674599999</v>
      </c>
      <c r="N40" s="31"/>
      <c r="O40" s="192">
        <f t="shared" ref="O40" si="14">M40+N40</f>
        <v>2888237.8674599999</v>
      </c>
      <c r="P40" s="200"/>
    </row>
    <row r="41" spans="1:75" hidden="1" x14ac:dyDescent="0.2">
      <c r="A41" s="6"/>
      <c r="B41" s="7" t="s">
        <v>157</v>
      </c>
      <c r="C41" s="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92"/>
    </row>
    <row r="42" spans="1:75" ht="54" hidden="1" customHeight="1" x14ac:dyDescent="0.2">
      <c r="A42" s="6" t="s">
        <v>94</v>
      </c>
      <c r="B42" s="15" t="s">
        <v>167</v>
      </c>
      <c r="C42" s="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92"/>
    </row>
    <row r="43" spans="1:75" hidden="1" x14ac:dyDescent="0.2">
      <c r="A43" s="6"/>
      <c r="B43" s="103" t="s">
        <v>156</v>
      </c>
      <c r="C43" s="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92"/>
    </row>
    <row r="44" spans="1:75" hidden="1" x14ac:dyDescent="0.2">
      <c r="A44" s="6"/>
      <c r="B44" s="7" t="s">
        <v>157</v>
      </c>
      <c r="C44" s="6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92"/>
    </row>
    <row r="45" spans="1:75" ht="51" hidden="1" x14ac:dyDescent="0.2">
      <c r="A45" s="6" t="s">
        <v>95</v>
      </c>
      <c r="B45" s="15" t="s">
        <v>153</v>
      </c>
      <c r="C45" s="6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92"/>
    </row>
    <row r="46" spans="1:75" hidden="1" x14ac:dyDescent="0.2">
      <c r="A46" s="6"/>
      <c r="B46" s="103" t="s">
        <v>156</v>
      </c>
      <c r="C46" s="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92"/>
    </row>
    <row r="47" spans="1:75" hidden="1" x14ac:dyDescent="0.2">
      <c r="A47" s="6"/>
      <c r="B47" s="7" t="s">
        <v>157</v>
      </c>
      <c r="C47" s="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92"/>
    </row>
    <row r="48" spans="1:75" ht="38.25" hidden="1" x14ac:dyDescent="0.2">
      <c r="A48" s="6" t="s">
        <v>169</v>
      </c>
      <c r="B48" s="103" t="s">
        <v>168</v>
      </c>
      <c r="C48" s="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92"/>
    </row>
    <row r="49" spans="1:75" s="19" customFormat="1" x14ac:dyDescent="0.2">
      <c r="B49" s="18" t="s">
        <v>177</v>
      </c>
      <c r="C49" s="88">
        <f>C6+C20+C38</f>
        <v>831</v>
      </c>
      <c r="D49" s="48"/>
      <c r="E49" s="48">
        <f>E6+E20+E38</f>
        <v>27279346</v>
      </c>
      <c r="F49" s="48"/>
      <c r="G49" s="48">
        <f>G6+G20+G38</f>
        <v>2856359</v>
      </c>
      <c r="H49" s="48"/>
      <c r="I49" s="48"/>
      <c r="J49" s="48"/>
      <c r="K49" s="48">
        <f>K6+K20+K38</f>
        <v>9578134.9971799999</v>
      </c>
      <c r="L49" s="48">
        <f>L6+L20+L38</f>
        <v>597033.87846000004</v>
      </c>
      <c r="M49" s="48">
        <f>M6+M20+M38</f>
        <v>39713839.99718</v>
      </c>
      <c r="N49" s="48">
        <v>294000</v>
      </c>
      <c r="O49" s="146">
        <f>M49+N49</f>
        <v>40007839.99718</v>
      </c>
      <c r="P49" s="139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s="11" customFormat="1" x14ac:dyDescent="0.2">
      <c r="A50" s="4">
        <v>4</v>
      </c>
      <c r="B50" s="18" t="s">
        <v>178</v>
      </c>
      <c r="C50" s="4">
        <f>SUM(C51:C54)</f>
        <v>544</v>
      </c>
      <c r="D50" s="32"/>
      <c r="E50" s="32">
        <f>SUM(E51:E54)</f>
        <v>14873532</v>
      </c>
      <c r="F50" s="32"/>
      <c r="G50" s="32">
        <f>SUM(G51:G54)</f>
        <v>1557438</v>
      </c>
      <c r="H50" s="32"/>
      <c r="I50" s="32"/>
      <c r="J50" s="32"/>
      <c r="K50" s="32">
        <f>SUM(K51:K54)</f>
        <v>5119311.4819199992</v>
      </c>
      <c r="L50" s="32">
        <f>SUM(L51:L54)</f>
        <v>240429.75104</v>
      </c>
      <c r="M50" s="32">
        <f>SUM(M51:M54)</f>
        <v>21550281.48192</v>
      </c>
      <c r="N50" s="32"/>
      <c r="O50" s="190">
        <f>SUM(O51:O54)</f>
        <v>21550281.48192</v>
      </c>
      <c r="P50" s="200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</row>
    <row r="51" spans="1:75" ht="39" customHeight="1" x14ac:dyDescent="0.2">
      <c r="A51" s="6" t="s">
        <v>96</v>
      </c>
      <c r="B51" s="14" t="s">
        <v>226</v>
      </c>
      <c r="C51" s="6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92"/>
    </row>
    <row r="52" spans="1:75" x14ac:dyDescent="0.2">
      <c r="A52" s="6"/>
      <c r="B52" s="10" t="s">
        <v>280</v>
      </c>
      <c r="C52" s="6">
        <v>269</v>
      </c>
      <c r="D52" s="31">
        <v>25796</v>
      </c>
      <c r="E52" s="31">
        <f>C52*D52</f>
        <v>6939124</v>
      </c>
      <c r="F52" s="31">
        <f>ROUND((D52*10.47143%),0)</f>
        <v>2701</v>
      </c>
      <c r="G52" s="31">
        <f>ROUND((C52*F52),0)</f>
        <v>726569</v>
      </c>
      <c r="H52" s="31">
        <v>9188.07</v>
      </c>
      <c r="I52" s="41">
        <v>1.024</v>
      </c>
      <c r="J52" s="31">
        <f>H52*I52</f>
        <v>9408.5836799999997</v>
      </c>
      <c r="K52" s="31">
        <f>C52*J52+161.96+880</f>
        <v>2531950.9699200001</v>
      </c>
      <c r="L52" s="31">
        <f t="shared" ref="L52:M54" si="15">D52+F52+J52</f>
        <v>37905.583679999996</v>
      </c>
      <c r="M52" s="31">
        <f t="shared" si="15"/>
        <v>10197643.96992</v>
      </c>
      <c r="N52" s="31"/>
      <c r="O52" s="192">
        <f t="shared" ref="O52:O54" si="16">M52+N52</f>
        <v>10197643.96992</v>
      </c>
    </row>
    <row r="53" spans="1:75" x14ac:dyDescent="0.2">
      <c r="A53" s="6"/>
      <c r="B53" s="10" t="s">
        <v>309</v>
      </c>
      <c r="C53" s="6">
        <v>271</v>
      </c>
      <c r="D53" s="42">
        <v>27226</v>
      </c>
      <c r="E53" s="31">
        <f>C53*D53-110</f>
        <v>7378136</v>
      </c>
      <c r="F53" s="31">
        <f t="shared" ref="F53:F54" si="17">ROUND((D53*10.47143%),0)</f>
        <v>2851</v>
      </c>
      <c r="G53" s="31">
        <f t="shared" ref="G53:G54" si="18">ROUND((C53*F53),0)</f>
        <v>772621</v>
      </c>
      <c r="H53" s="31">
        <v>9188.07</v>
      </c>
      <c r="I53" s="41">
        <v>1.024</v>
      </c>
      <c r="J53" s="31">
        <f>H53*I53</f>
        <v>9408.5836799999997</v>
      </c>
      <c r="K53" s="31">
        <f t="shared" ref="K53:K54" si="19">C53*J53</f>
        <v>2549726.1772799999</v>
      </c>
      <c r="L53" s="31">
        <f t="shared" si="15"/>
        <v>39485.583679999996</v>
      </c>
      <c r="M53" s="31">
        <f t="shared" si="15"/>
        <v>10700483.177279999</v>
      </c>
      <c r="N53" s="31"/>
      <c r="O53" s="192">
        <f t="shared" si="16"/>
        <v>10700483.177279999</v>
      </c>
      <c r="P53" s="200"/>
    </row>
    <row r="54" spans="1:75" ht="25.5" x14ac:dyDescent="0.2">
      <c r="A54" s="6"/>
      <c r="B54" s="7" t="s">
        <v>303</v>
      </c>
      <c r="C54" s="6">
        <v>4</v>
      </c>
      <c r="D54" s="31">
        <v>139068</v>
      </c>
      <c r="E54" s="31">
        <f t="shared" ref="E54" si="20">C54*D54</f>
        <v>556272</v>
      </c>
      <c r="F54" s="31">
        <f t="shared" si="17"/>
        <v>14562</v>
      </c>
      <c r="G54" s="31">
        <f t="shared" si="18"/>
        <v>58248</v>
      </c>
      <c r="H54" s="31">
        <v>9188.07</v>
      </c>
      <c r="I54" s="41">
        <v>1.024</v>
      </c>
      <c r="J54" s="31">
        <f t="shared" ref="J54:J63" si="21">H54*I54</f>
        <v>9408.5836799999997</v>
      </c>
      <c r="K54" s="31">
        <f t="shared" si="19"/>
        <v>37634.334719999999</v>
      </c>
      <c r="L54" s="31">
        <f t="shared" si="15"/>
        <v>163038.58368000001</v>
      </c>
      <c r="M54" s="31">
        <f t="shared" si="15"/>
        <v>652154.33472000004</v>
      </c>
      <c r="N54" s="31"/>
      <c r="O54" s="192">
        <f t="shared" si="16"/>
        <v>652154.33472000004</v>
      </c>
    </row>
    <row r="55" spans="1:75" ht="51" hidden="1" x14ac:dyDescent="0.2">
      <c r="A55" s="6" t="s">
        <v>97</v>
      </c>
      <c r="B55" s="15" t="s">
        <v>163</v>
      </c>
      <c r="C55" s="6"/>
      <c r="D55" s="31"/>
      <c r="E55" s="31"/>
      <c r="F55" s="31"/>
      <c r="G55" s="31"/>
      <c r="H55" s="31"/>
      <c r="I55" s="41">
        <v>1.0229999999999999</v>
      </c>
      <c r="J55" s="31">
        <f t="shared" si="21"/>
        <v>0</v>
      </c>
      <c r="K55" s="31"/>
      <c r="L55" s="31"/>
      <c r="M55" s="31"/>
      <c r="N55" s="31"/>
      <c r="O55" s="192"/>
    </row>
    <row r="56" spans="1:75" hidden="1" x14ac:dyDescent="0.2">
      <c r="A56" s="6"/>
      <c r="B56" s="103" t="s">
        <v>91</v>
      </c>
      <c r="C56" s="6"/>
      <c r="D56" s="31"/>
      <c r="E56" s="31"/>
      <c r="F56" s="31"/>
      <c r="G56" s="31"/>
      <c r="H56" s="31"/>
      <c r="I56" s="41">
        <v>1.0229999999999999</v>
      </c>
      <c r="J56" s="31">
        <f t="shared" si="21"/>
        <v>0</v>
      </c>
      <c r="K56" s="31"/>
      <c r="L56" s="31"/>
      <c r="M56" s="31"/>
      <c r="N56" s="31"/>
      <c r="O56" s="192"/>
    </row>
    <row r="57" spans="1:75" hidden="1" x14ac:dyDescent="0.2">
      <c r="A57" s="6"/>
      <c r="B57" s="7" t="s">
        <v>92</v>
      </c>
      <c r="C57" s="6"/>
      <c r="D57" s="31"/>
      <c r="E57" s="31"/>
      <c r="F57" s="31"/>
      <c r="G57" s="31"/>
      <c r="H57" s="31"/>
      <c r="I57" s="41">
        <v>1.0229999999999999</v>
      </c>
      <c r="J57" s="31">
        <f t="shared" si="21"/>
        <v>0</v>
      </c>
      <c r="K57" s="31"/>
      <c r="L57" s="31"/>
      <c r="M57" s="31"/>
      <c r="N57" s="31"/>
      <c r="O57" s="192"/>
    </row>
    <row r="58" spans="1:75" hidden="1" x14ac:dyDescent="0.2">
      <c r="A58" s="6"/>
      <c r="B58" s="103" t="s">
        <v>156</v>
      </c>
      <c r="C58" s="6"/>
      <c r="D58" s="31"/>
      <c r="E58" s="31"/>
      <c r="F58" s="31"/>
      <c r="G58" s="31"/>
      <c r="H58" s="31"/>
      <c r="I58" s="41">
        <v>1.0229999999999999</v>
      </c>
      <c r="J58" s="31">
        <f t="shared" si="21"/>
        <v>0</v>
      </c>
      <c r="K58" s="31"/>
      <c r="L58" s="31"/>
      <c r="M58" s="31"/>
      <c r="N58" s="31"/>
      <c r="O58" s="192"/>
    </row>
    <row r="59" spans="1:75" hidden="1" x14ac:dyDescent="0.2">
      <c r="A59" s="6"/>
      <c r="B59" s="7" t="s">
        <v>157</v>
      </c>
      <c r="C59" s="6"/>
      <c r="D59" s="31"/>
      <c r="E59" s="31"/>
      <c r="F59" s="31"/>
      <c r="G59" s="31"/>
      <c r="H59" s="31"/>
      <c r="I59" s="41">
        <v>1.0229999999999999</v>
      </c>
      <c r="J59" s="31">
        <f t="shared" si="21"/>
        <v>0</v>
      </c>
      <c r="K59" s="31"/>
      <c r="L59" s="31"/>
      <c r="M59" s="31"/>
      <c r="N59" s="31"/>
      <c r="O59" s="192"/>
    </row>
    <row r="60" spans="1:75" ht="51" hidden="1" x14ac:dyDescent="0.2">
      <c r="A60" s="6" t="s">
        <v>98</v>
      </c>
      <c r="B60" s="14" t="s">
        <v>155</v>
      </c>
      <c r="C60" s="6"/>
      <c r="D60" s="31"/>
      <c r="E60" s="31"/>
      <c r="F60" s="31"/>
      <c r="G60" s="31"/>
      <c r="H60" s="31"/>
      <c r="I60" s="41">
        <v>1.0229999999999999</v>
      </c>
      <c r="J60" s="31">
        <f t="shared" si="21"/>
        <v>0</v>
      </c>
      <c r="K60" s="31"/>
      <c r="L60" s="31"/>
      <c r="M60" s="31"/>
      <c r="N60" s="31"/>
      <c r="O60" s="192"/>
    </row>
    <row r="61" spans="1:75" hidden="1" x14ac:dyDescent="0.2">
      <c r="A61" s="6"/>
      <c r="B61" s="10" t="s">
        <v>91</v>
      </c>
      <c r="C61" s="6"/>
      <c r="D61" s="31"/>
      <c r="E61" s="31"/>
      <c r="F61" s="31"/>
      <c r="G61" s="31"/>
      <c r="H61" s="31"/>
      <c r="I61" s="41">
        <v>1.0229999999999999</v>
      </c>
      <c r="J61" s="31">
        <f t="shared" si="21"/>
        <v>0</v>
      </c>
      <c r="K61" s="31"/>
      <c r="L61" s="31"/>
      <c r="M61" s="31"/>
      <c r="N61" s="31"/>
      <c r="O61" s="192"/>
    </row>
    <row r="62" spans="1:75" hidden="1" x14ac:dyDescent="0.2">
      <c r="A62" s="6"/>
      <c r="B62" s="7" t="s">
        <v>92</v>
      </c>
      <c r="C62" s="6"/>
      <c r="D62" s="31"/>
      <c r="E62" s="31"/>
      <c r="F62" s="31"/>
      <c r="G62" s="31"/>
      <c r="H62" s="31"/>
      <c r="I62" s="41">
        <v>1.0229999999999999</v>
      </c>
      <c r="J62" s="31">
        <f t="shared" si="21"/>
        <v>0</v>
      </c>
      <c r="K62" s="31"/>
      <c r="L62" s="31"/>
      <c r="M62" s="31"/>
      <c r="N62" s="31"/>
      <c r="O62" s="192"/>
    </row>
    <row r="63" spans="1:75" ht="38.25" hidden="1" x14ac:dyDescent="0.2">
      <c r="A63" s="6" t="s">
        <v>221</v>
      </c>
      <c r="B63" s="14" t="s">
        <v>158</v>
      </c>
      <c r="C63" s="6"/>
      <c r="D63" s="31"/>
      <c r="E63" s="31"/>
      <c r="F63" s="31"/>
      <c r="G63" s="31"/>
      <c r="H63" s="31"/>
      <c r="I63" s="41">
        <v>1.0229999999999999</v>
      </c>
      <c r="J63" s="31">
        <f t="shared" si="21"/>
        <v>0</v>
      </c>
      <c r="K63" s="31"/>
      <c r="L63" s="31"/>
      <c r="M63" s="31"/>
      <c r="N63" s="31"/>
      <c r="O63" s="192"/>
    </row>
    <row r="64" spans="1:75" s="11" customFormat="1" x14ac:dyDescent="0.2">
      <c r="A64" s="4" t="s">
        <v>222</v>
      </c>
      <c r="B64" s="5" t="s">
        <v>159</v>
      </c>
      <c r="C64" s="4">
        <f>SUM(C65:C70)</f>
        <v>700</v>
      </c>
      <c r="D64" s="32"/>
      <c r="E64" s="32">
        <f>SUM(E65:E70)</f>
        <v>22484316</v>
      </c>
      <c r="F64" s="32"/>
      <c r="G64" s="32">
        <f>SUM(G65:G70)</f>
        <v>2354300</v>
      </c>
      <c r="H64" s="31"/>
      <c r="I64" s="41"/>
      <c r="J64" s="31"/>
      <c r="K64" s="32">
        <f>SUM(K65:K70)</f>
        <v>6586008.5759999994</v>
      </c>
      <c r="L64" s="32">
        <f>SUM(L65:L70)</f>
        <v>500286.91839999997</v>
      </c>
      <c r="M64" s="32">
        <f>SUM(M65:M70)</f>
        <v>31424624.576000001</v>
      </c>
      <c r="N64" s="32"/>
      <c r="O64" s="190">
        <f>SUM(O65:O70)</f>
        <v>31424624.576000001</v>
      </c>
      <c r="P64" s="200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</row>
    <row r="65" spans="1:16" ht="40.5" customHeight="1" x14ac:dyDescent="0.2">
      <c r="A65" s="6" t="s">
        <v>99</v>
      </c>
      <c r="B65" s="14" t="s">
        <v>227</v>
      </c>
      <c r="C65" s="6"/>
      <c r="D65" s="31"/>
      <c r="E65" s="31"/>
      <c r="F65" s="31"/>
      <c r="G65" s="31"/>
      <c r="H65" s="31"/>
      <c r="I65" s="41"/>
      <c r="J65" s="31"/>
      <c r="K65" s="31"/>
      <c r="L65" s="31"/>
      <c r="M65" s="31"/>
      <c r="N65" s="31"/>
      <c r="O65" s="192"/>
      <c r="P65" s="200"/>
    </row>
    <row r="66" spans="1:16" x14ac:dyDescent="0.2">
      <c r="A66" s="6"/>
      <c r="B66" s="103" t="s">
        <v>280</v>
      </c>
      <c r="C66" s="6">
        <v>221</v>
      </c>
      <c r="D66" s="31">
        <v>31306</v>
      </c>
      <c r="E66" s="31">
        <f t="shared" ref="E66:E70" si="22">C66*D66</f>
        <v>6918626</v>
      </c>
      <c r="F66" s="31">
        <f t="shared" ref="F66:F70" si="23">ROUND((D66*10.47143%),0)</f>
        <v>3278</v>
      </c>
      <c r="G66" s="31">
        <f t="shared" ref="G66:G70" si="24">ROUND((C66*F66),0)</f>
        <v>724438</v>
      </c>
      <c r="H66" s="31">
        <v>9188.07</v>
      </c>
      <c r="I66" s="41">
        <v>1.024</v>
      </c>
      <c r="J66" s="31">
        <f t="shared" ref="J66:J70" si="25">H66*I66</f>
        <v>9408.5836799999997</v>
      </c>
      <c r="K66" s="31">
        <f t="shared" ref="K66:K70" si="26">C66*J66</f>
        <v>2079296.9932800001</v>
      </c>
      <c r="L66" s="31">
        <f>D66+F66+J66</f>
        <v>43992.583679999996</v>
      </c>
      <c r="M66" s="31">
        <f>E66+G66+K66</f>
        <v>9722360.993280001</v>
      </c>
      <c r="N66" s="31"/>
      <c r="O66" s="192">
        <f t="shared" ref="O66:O70" si="27">M66+N66</f>
        <v>9722360.993280001</v>
      </c>
      <c r="P66" s="200"/>
    </row>
    <row r="67" spans="1:16" x14ac:dyDescent="0.2">
      <c r="A67" s="6"/>
      <c r="B67" s="10" t="s">
        <v>309</v>
      </c>
      <c r="C67" s="6">
        <v>475</v>
      </c>
      <c r="D67" s="31">
        <v>31306</v>
      </c>
      <c r="E67" s="31">
        <f t="shared" si="22"/>
        <v>14870350</v>
      </c>
      <c r="F67" s="31">
        <f t="shared" si="23"/>
        <v>3278</v>
      </c>
      <c r="G67" s="31">
        <f t="shared" si="24"/>
        <v>1557050</v>
      </c>
      <c r="H67" s="31">
        <v>9188.07</v>
      </c>
      <c r="I67" s="41">
        <v>1.024</v>
      </c>
      <c r="J67" s="31">
        <f t="shared" si="25"/>
        <v>9408.5836799999997</v>
      </c>
      <c r="K67" s="31">
        <f t="shared" si="26"/>
        <v>4469077.2479999997</v>
      </c>
      <c r="L67" s="31">
        <f t="shared" ref="L67:M70" si="28">D67+F67+J67</f>
        <v>43992.583679999996</v>
      </c>
      <c r="M67" s="31">
        <f t="shared" si="28"/>
        <v>20896477.248</v>
      </c>
      <c r="N67" s="31"/>
      <c r="O67" s="192">
        <f t="shared" si="27"/>
        <v>20896477.248</v>
      </c>
      <c r="P67" s="200"/>
    </row>
    <row r="68" spans="1:16" hidden="1" x14ac:dyDescent="0.2">
      <c r="A68" s="6"/>
      <c r="B68" s="7" t="s">
        <v>92</v>
      </c>
      <c r="C68" s="6"/>
      <c r="D68" s="31">
        <v>173835</v>
      </c>
      <c r="E68" s="31">
        <f t="shared" si="22"/>
        <v>0</v>
      </c>
      <c r="F68" s="31">
        <f t="shared" si="23"/>
        <v>18203</v>
      </c>
      <c r="G68" s="31">
        <f t="shared" si="24"/>
        <v>0</v>
      </c>
      <c r="H68" s="31">
        <v>9188.07</v>
      </c>
      <c r="I68" s="41">
        <v>1.024</v>
      </c>
      <c r="J68" s="31">
        <f t="shared" si="25"/>
        <v>9408.5836799999997</v>
      </c>
      <c r="K68" s="31">
        <f t="shared" si="26"/>
        <v>0</v>
      </c>
      <c r="L68" s="31">
        <f t="shared" si="28"/>
        <v>201446.58368000001</v>
      </c>
      <c r="M68" s="31">
        <f t="shared" si="28"/>
        <v>0</v>
      </c>
      <c r="N68" s="31"/>
      <c r="O68" s="192">
        <f t="shared" si="27"/>
        <v>0</v>
      </c>
      <c r="P68" s="200"/>
    </row>
    <row r="69" spans="1:16" hidden="1" x14ac:dyDescent="0.2">
      <c r="A69" s="6"/>
      <c r="B69" s="103" t="s">
        <v>156</v>
      </c>
      <c r="C69" s="6"/>
      <c r="D69" s="31"/>
      <c r="E69" s="31">
        <f t="shared" si="22"/>
        <v>0</v>
      </c>
      <c r="F69" s="31">
        <f t="shared" si="23"/>
        <v>0</v>
      </c>
      <c r="G69" s="31">
        <f t="shared" si="24"/>
        <v>0</v>
      </c>
      <c r="H69" s="31">
        <v>9188.07</v>
      </c>
      <c r="I69" s="41">
        <v>1.024</v>
      </c>
      <c r="J69" s="31">
        <f t="shared" si="25"/>
        <v>9408.5836799999997</v>
      </c>
      <c r="K69" s="31">
        <f t="shared" si="26"/>
        <v>0</v>
      </c>
      <c r="L69" s="31">
        <f t="shared" si="28"/>
        <v>9408.5836799999997</v>
      </c>
      <c r="M69" s="31">
        <f t="shared" si="28"/>
        <v>0</v>
      </c>
      <c r="N69" s="31"/>
      <c r="O69" s="192">
        <f t="shared" si="27"/>
        <v>0</v>
      </c>
      <c r="P69" s="200"/>
    </row>
    <row r="70" spans="1:16" ht="25.5" x14ac:dyDescent="0.2">
      <c r="A70" s="6"/>
      <c r="B70" s="7" t="s">
        <v>303</v>
      </c>
      <c r="C70" s="6">
        <v>4</v>
      </c>
      <c r="D70" s="31">
        <v>173835</v>
      </c>
      <c r="E70" s="31">
        <f t="shared" si="22"/>
        <v>695340</v>
      </c>
      <c r="F70" s="31">
        <f t="shared" si="23"/>
        <v>18203</v>
      </c>
      <c r="G70" s="31">
        <f t="shared" si="24"/>
        <v>72812</v>
      </c>
      <c r="H70" s="31">
        <v>9188.07</v>
      </c>
      <c r="I70" s="41">
        <v>1.024</v>
      </c>
      <c r="J70" s="31">
        <f t="shared" si="25"/>
        <v>9408.5836799999997</v>
      </c>
      <c r="K70" s="31">
        <f t="shared" si="26"/>
        <v>37634.334719999999</v>
      </c>
      <c r="L70" s="31">
        <f t="shared" si="28"/>
        <v>201446.58368000001</v>
      </c>
      <c r="M70" s="31">
        <f t="shared" si="28"/>
        <v>805786.33472000004</v>
      </c>
      <c r="N70" s="31"/>
      <c r="O70" s="192">
        <f t="shared" si="27"/>
        <v>805786.33472000004</v>
      </c>
      <c r="P70" s="200"/>
    </row>
    <row r="71" spans="1:16" ht="54" hidden="1" customHeight="1" x14ac:dyDescent="0.2">
      <c r="A71" s="6" t="s">
        <v>100</v>
      </c>
      <c r="B71" s="15" t="s">
        <v>161</v>
      </c>
      <c r="C71" s="6"/>
      <c r="D71" s="31"/>
      <c r="E71" s="31"/>
      <c r="F71" s="31"/>
      <c r="G71" s="31"/>
      <c r="H71" s="31"/>
      <c r="I71" s="41">
        <v>1.0239</v>
      </c>
      <c r="J71" s="31"/>
      <c r="K71" s="31"/>
      <c r="L71" s="31"/>
      <c r="M71" s="31"/>
      <c r="N71" s="31"/>
      <c r="O71" s="192"/>
      <c r="P71" s="200"/>
    </row>
    <row r="72" spans="1:16" hidden="1" x14ac:dyDescent="0.2">
      <c r="A72" s="6"/>
      <c r="B72" s="103" t="s">
        <v>91</v>
      </c>
      <c r="C72" s="6"/>
      <c r="D72" s="31"/>
      <c r="E72" s="31"/>
      <c r="F72" s="31"/>
      <c r="G72" s="31"/>
      <c r="H72" s="31"/>
      <c r="I72" s="41">
        <v>1.0239</v>
      </c>
      <c r="J72" s="31"/>
      <c r="K72" s="31"/>
      <c r="L72" s="31"/>
      <c r="M72" s="31"/>
      <c r="N72" s="31"/>
      <c r="O72" s="192"/>
      <c r="P72" s="200"/>
    </row>
    <row r="73" spans="1:16" hidden="1" x14ac:dyDescent="0.2">
      <c r="A73" s="6"/>
      <c r="B73" s="7" t="s">
        <v>92</v>
      </c>
      <c r="C73" s="6"/>
      <c r="D73" s="31"/>
      <c r="E73" s="31"/>
      <c r="F73" s="31"/>
      <c r="G73" s="31"/>
      <c r="H73" s="31"/>
      <c r="I73" s="41">
        <v>1.0239</v>
      </c>
      <c r="J73" s="31"/>
      <c r="K73" s="31"/>
      <c r="L73" s="31"/>
      <c r="M73" s="31"/>
      <c r="N73" s="31"/>
      <c r="O73" s="192"/>
      <c r="P73" s="200"/>
    </row>
    <row r="74" spans="1:16" hidden="1" x14ac:dyDescent="0.2">
      <c r="A74" s="6"/>
      <c r="B74" s="103" t="s">
        <v>156</v>
      </c>
      <c r="C74" s="6"/>
      <c r="D74" s="31"/>
      <c r="E74" s="31"/>
      <c r="F74" s="31"/>
      <c r="G74" s="31"/>
      <c r="H74" s="31"/>
      <c r="I74" s="41">
        <v>1.0239</v>
      </c>
      <c r="J74" s="31"/>
      <c r="K74" s="31"/>
      <c r="L74" s="31"/>
      <c r="M74" s="31"/>
      <c r="N74" s="31"/>
      <c r="O74" s="192"/>
      <c r="P74" s="200"/>
    </row>
    <row r="75" spans="1:16" hidden="1" x14ac:dyDescent="0.2">
      <c r="A75" s="6"/>
      <c r="B75" s="7" t="s">
        <v>157</v>
      </c>
      <c r="C75" s="6"/>
      <c r="D75" s="31"/>
      <c r="E75" s="31"/>
      <c r="F75" s="31"/>
      <c r="G75" s="31"/>
      <c r="H75" s="31"/>
      <c r="I75" s="41">
        <v>1.0239</v>
      </c>
      <c r="J75" s="31"/>
      <c r="K75" s="31"/>
      <c r="L75" s="31"/>
      <c r="M75" s="31"/>
      <c r="N75" s="31"/>
      <c r="O75" s="192"/>
      <c r="P75" s="200"/>
    </row>
    <row r="76" spans="1:16" ht="51" hidden="1" x14ac:dyDescent="0.2">
      <c r="A76" s="6" t="s">
        <v>101</v>
      </c>
      <c r="B76" s="15" t="s">
        <v>163</v>
      </c>
      <c r="C76" s="6"/>
      <c r="D76" s="31"/>
      <c r="E76" s="31"/>
      <c r="F76" s="31"/>
      <c r="G76" s="31"/>
      <c r="H76" s="31"/>
      <c r="I76" s="41">
        <v>1.0239</v>
      </c>
      <c r="J76" s="31"/>
      <c r="K76" s="31"/>
      <c r="L76" s="31"/>
      <c r="M76" s="31"/>
      <c r="N76" s="31"/>
      <c r="O76" s="192"/>
      <c r="P76" s="200"/>
    </row>
    <row r="77" spans="1:16" hidden="1" x14ac:dyDescent="0.2">
      <c r="A77" s="6"/>
      <c r="B77" s="103" t="s">
        <v>91</v>
      </c>
      <c r="C77" s="6"/>
      <c r="D77" s="31"/>
      <c r="E77" s="31"/>
      <c r="F77" s="31"/>
      <c r="G77" s="31"/>
      <c r="H77" s="31"/>
      <c r="I77" s="41">
        <v>1.0239</v>
      </c>
      <c r="J77" s="31"/>
      <c r="K77" s="31"/>
      <c r="L77" s="31"/>
      <c r="M77" s="31"/>
      <c r="N77" s="31"/>
      <c r="O77" s="192"/>
      <c r="P77" s="200"/>
    </row>
    <row r="78" spans="1:16" hidden="1" x14ac:dyDescent="0.2">
      <c r="A78" s="6"/>
      <c r="B78" s="7" t="s">
        <v>92</v>
      </c>
      <c r="C78" s="6"/>
      <c r="D78" s="31"/>
      <c r="E78" s="31"/>
      <c r="F78" s="31"/>
      <c r="G78" s="31"/>
      <c r="H78" s="31"/>
      <c r="I78" s="41">
        <v>1.0239</v>
      </c>
      <c r="J78" s="31"/>
      <c r="K78" s="31"/>
      <c r="L78" s="31"/>
      <c r="M78" s="31"/>
      <c r="N78" s="31"/>
      <c r="O78" s="192"/>
      <c r="P78" s="200"/>
    </row>
    <row r="79" spans="1:16" hidden="1" x14ac:dyDescent="0.2">
      <c r="A79" s="6"/>
      <c r="B79" s="103" t="s">
        <v>156</v>
      </c>
      <c r="C79" s="6"/>
      <c r="D79" s="31"/>
      <c r="E79" s="31"/>
      <c r="F79" s="31"/>
      <c r="G79" s="31"/>
      <c r="H79" s="31"/>
      <c r="I79" s="41">
        <v>1.0239</v>
      </c>
      <c r="J79" s="31"/>
      <c r="K79" s="31"/>
      <c r="L79" s="31"/>
      <c r="M79" s="31"/>
      <c r="N79" s="31"/>
      <c r="O79" s="192"/>
      <c r="P79" s="200"/>
    </row>
    <row r="80" spans="1:16" hidden="1" x14ac:dyDescent="0.2">
      <c r="A80" s="6"/>
      <c r="B80" s="7" t="s">
        <v>157</v>
      </c>
      <c r="C80" s="6"/>
      <c r="D80" s="31"/>
      <c r="E80" s="31"/>
      <c r="F80" s="31"/>
      <c r="G80" s="31"/>
      <c r="H80" s="31"/>
      <c r="I80" s="41">
        <v>1.0239</v>
      </c>
      <c r="J80" s="31"/>
      <c r="K80" s="31"/>
      <c r="L80" s="31"/>
      <c r="M80" s="31"/>
      <c r="N80" s="31"/>
      <c r="O80" s="192"/>
      <c r="P80" s="200"/>
    </row>
    <row r="81" spans="1:75" ht="38.25" hidden="1" x14ac:dyDescent="0.2">
      <c r="A81" s="6" t="s">
        <v>223</v>
      </c>
      <c r="B81" s="103" t="s">
        <v>162</v>
      </c>
      <c r="C81" s="6"/>
      <c r="D81" s="31"/>
      <c r="E81" s="31"/>
      <c r="F81" s="31"/>
      <c r="G81" s="31"/>
      <c r="H81" s="31"/>
      <c r="I81" s="41">
        <v>1.0239</v>
      </c>
      <c r="J81" s="31"/>
      <c r="K81" s="31"/>
      <c r="L81" s="31"/>
      <c r="M81" s="31"/>
      <c r="N81" s="31"/>
      <c r="O81" s="192"/>
      <c r="P81" s="200"/>
    </row>
    <row r="82" spans="1:75" s="11" customFormat="1" x14ac:dyDescent="0.2">
      <c r="A82" s="4">
        <v>6</v>
      </c>
      <c r="B82" s="5" t="s">
        <v>165</v>
      </c>
      <c r="C82" s="4">
        <f>SUM(C83:C85)</f>
        <v>77</v>
      </c>
      <c r="D82" s="32"/>
      <c r="E82" s="32">
        <f>SUM(E83:E85)</f>
        <v>2728726</v>
      </c>
      <c r="F82" s="32"/>
      <c r="G82" s="32">
        <f>SUM(G83:G85)</f>
        <v>285747</v>
      </c>
      <c r="H82" s="32"/>
      <c r="I82" s="47"/>
      <c r="J82" s="31"/>
      <c r="K82" s="32">
        <f>SUM(K83:K85)</f>
        <v>724460.94336000003</v>
      </c>
      <c r="L82" s="32">
        <f>SUM(L83:L85)</f>
        <v>97115.167359999992</v>
      </c>
      <c r="M82" s="32">
        <f>SUM(M83:M85)</f>
        <v>3738933.9433599999</v>
      </c>
      <c r="N82" s="32"/>
      <c r="O82" s="190">
        <f>SUM(O83:O85)</f>
        <v>3738933.9433599999</v>
      </c>
      <c r="P82" s="202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</row>
    <row r="83" spans="1:75" ht="44.25" customHeight="1" x14ac:dyDescent="0.2">
      <c r="A83" s="6" t="s">
        <v>102</v>
      </c>
      <c r="B83" s="14" t="s">
        <v>228</v>
      </c>
      <c r="C83" s="6"/>
      <c r="D83" s="31"/>
      <c r="E83" s="31"/>
      <c r="F83" s="31"/>
      <c r="G83" s="31"/>
      <c r="H83" s="31"/>
      <c r="I83" s="41"/>
      <c r="J83" s="31"/>
      <c r="K83" s="31"/>
      <c r="L83" s="31"/>
      <c r="M83" s="31"/>
      <c r="N83" s="31"/>
      <c r="O83" s="192"/>
      <c r="P83" s="200"/>
    </row>
    <row r="84" spans="1:75" x14ac:dyDescent="0.2">
      <c r="A84" s="6"/>
      <c r="B84" s="103" t="s">
        <v>280</v>
      </c>
      <c r="C84" s="6">
        <v>77</v>
      </c>
      <c r="D84" s="31">
        <v>35438</v>
      </c>
      <c r="E84" s="31">
        <f t="shared" ref="E84:E85" si="29">C84*D84</f>
        <v>2728726</v>
      </c>
      <c r="F84" s="31">
        <f t="shared" ref="F84:F85" si="30">ROUND((D84*10.47143%),0)</f>
        <v>3711</v>
      </c>
      <c r="G84" s="31">
        <f t="shared" ref="G84:G85" si="31">ROUND((C84*F84),0)</f>
        <v>285747</v>
      </c>
      <c r="H84" s="31">
        <v>9188.07</v>
      </c>
      <c r="I84" s="41">
        <v>1.024</v>
      </c>
      <c r="J84" s="31">
        <f t="shared" ref="J84" si="32">H84*I84</f>
        <v>9408.5836799999997</v>
      </c>
      <c r="K84" s="31">
        <f t="shared" ref="K84:K85" si="33">C84*J84</f>
        <v>724460.94336000003</v>
      </c>
      <c r="L84" s="31">
        <f t="shared" ref="L84:M84" si="34">D84+F84+J84</f>
        <v>48557.583679999996</v>
      </c>
      <c r="M84" s="31">
        <f t="shared" si="34"/>
        <v>3738933.9433599999</v>
      </c>
      <c r="N84" s="31"/>
      <c r="O84" s="192">
        <f t="shared" ref="O84:O85" si="35">M84+N84</f>
        <v>3738933.9433599999</v>
      </c>
    </row>
    <row r="85" spans="1:75" x14ac:dyDescent="0.2">
      <c r="A85" s="6"/>
      <c r="B85" s="10" t="s">
        <v>309</v>
      </c>
      <c r="C85" s="6"/>
      <c r="D85" s="31">
        <v>35438</v>
      </c>
      <c r="E85" s="31">
        <f t="shared" si="29"/>
        <v>0</v>
      </c>
      <c r="F85" s="31">
        <f t="shared" si="30"/>
        <v>3711</v>
      </c>
      <c r="G85" s="31">
        <f t="shared" si="31"/>
        <v>0</v>
      </c>
      <c r="H85" s="31">
        <v>9188.07</v>
      </c>
      <c r="I85" s="41">
        <v>1.024</v>
      </c>
      <c r="J85" s="31">
        <f>H85*I85</f>
        <v>9408.5836799999997</v>
      </c>
      <c r="K85" s="31">
        <f t="shared" si="33"/>
        <v>0</v>
      </c>
      <c r="L85" s="31">
        <f>D85+F85+J85</f>
        <v>48557.583679999996</v>
      </c>
      <c r="M85" s="31">
        <f>E85+G85+K85</f>
        <v>0</v>
      </c>
      <c r="N85" s="31"/>
      <c r="O85" s="192">
        <f t="shared" si="35"/>
        <v>0</v>
      </c>
      <c r="P85" s="200"/>
    </row>
    <row r="86" spans="1:75" hidden="1" x14ac:dyDescent="0.2">
      <c r="A86" s="6"/>
      <c r="B86" s="7"/>
      <c r="C86" s="6"/>
      <c r="D86" s="31"/>
      <c r="E86" s="31"/>
      <c r="F86" s="31">
        <f t="shared" ref="F86:F93" si="36">ROUND((D86*11%),0)</f>
        <v>0</v>
      </c>
      <c r="G86" s="31"/>
      <c r="H86" s="31"/>
      <c r="I86" s="41">
        <v>1.0229999999999999</v>
      </c>
      <c r="J86" s="31"/>
      <c r="K86" s="31"/>
      <c r="L86" s="31"/>
      <c r="M86" s="31"/>
      <c r="N86" s="31"/>
      <c r="O86" s="192"/>
    </row>
    <row r="87" spans="1:75" ht="54" hidden="1" customHeight="1" x14ac:dyDescent="0.2">
      <c r="A87" s="6" t="s">
        <v>103</v>
      </c>
      <c r="B87" s="15" t="s">
        <v>167</v>
      </c>
      <c r="C87" s="6"/>
      <c r="D87" s="31"/>
      <c r="E87" s="31"/>
      <c r="F87" s="31">
        <f t="shared" si="36"/>
        <v>0</v>
      </c>
      <c r="G87" s="31"/>
      <c r="H87" s="31"/>
      <c r="I87" s="41">
        <v>1.0229999999999999</v>
      </c>
      <c r="J87" s="31"/>
      <c r="K87" s="31"/>
      <c r="L87" s="31"/>
      <c r="M87" s="31"/>
      <c r="N87" s="31"/>
      <c r="O87" s="192"/>
    </row>
    <row r="88" spans="1:75" hidden="1" x14ac:dyDescent="0.2">
      <c r="A88" s="6"/>
      <c r="B88" s="103" t="s">
        <v>156</v>
      </c>
      <c r="C88" s="6"/>
      <c r="D88" s="31"/>
      <c r="E88" s="31"/>
      <c r="F88" s="31">
        <f t="shared" si="36"/>
        <v>0</v>
      </c>
      <c r="G88" s="31"/>
      <c r="H88" s="31"/>
      <c r="I88" s="41">
        <v>1.0229999999999999</v>
      </c>
      <c r="J88" s="31"/>
      <c r="K88" s="31"/>
      <c r="L88" s="31"/>
      <c r="M88" s="31"/>
      <c r="N88" s="31"/>
      <c r="O88" s="192"/>
    </row>
    <row r="89" spans="1:75" hidden="1" x14ac:dyDescent="0.2">
      <c r="A89" s="6"/>
      <c r="B89" s="7" t="s">
        <v>157</v>
      </c>
      <c r="C89" s="6"/>
      <c r="D89" s="31"/>
      <c r="E89" s="31"/>
      <c r="F89" s="31">
        <f t="shared" si="36"/>
        <v>0</v>
      </c>
      <c r="G89" s="31"/>
      <c r="H89" s="31"/>
      <c r="I89" s="41">
        <v>1.0229999999999999</v>
      </c>
      <c r="J89" s="31"/>
      <c r="K89" s="31"/>
      <c r="L89" s="31"/>
      <c r="M89" s="31"/>
      <c r="N89" s="31"/>
      <c r="O89" s="192"/>
    </row>
    <row r="90" spans="1:75" ht="51" hidden="1" x14ac:dyDescent="0.2">
      <c r="A90" s="6" t="s">
        <v>104</v>
      </c>
      <c r="B90" s="15" t="s">
        <v>153</v>
      </c>
      <c r="C90" s="6"/>
      <c r="D90" s="31"/>
      <c r="E90" s="31"/>
      <c r="F90" s="31">
        <f t="shared" si="36"/>
        <v>0</v>
      </c>
      <c r="G90" s="31"/>
      <c r="H90" s="31"/>
      <c r="I90" s="41">
        <v>1.0229999999999999</v>
      </c>
      <c r="J90" s="31"/>
      <c r="K90" s="31"/>
      <c r="L90" s="31"/>
      <c r="M90" s="31"/>
      <c r="N90" s="31"/>
      <c r="O90" s="192"/>
    </row>
    <row r="91" spans="1:75" hidden="1" x14ac:dyDescent="0.2">
      <c r="A91" s="6"/>
      <c r="B91" s="103" t="s">
        <v>156</v>
      </c>
      <c r="C91" s="6"/>
      <c r="D91" s="31"/>
      <c r="E91" s="31"/>
      <c r="F91" s="31">
        <f t="shared" si="36"/>
        <v>0</v>
      </c>
      <c r="G91" s="31"/>
      <c r="H91" s="31"/>
      <c r="I91" s="41">
        <v>1.0229999999999999</v>
      </c>
      <c r="J91" s="31"/>
      <c r="K91" s="31"/>
      <c r="L91" s="31"/>
      <c r="M91" s="31"/>
      <c r="N91" s="31"/>
      <c r="O91" s="192"/>
    </row>
    <row r="92" spans="1:75" hidden="1" x14ac:dyDescent="0.2">
      <c r="A92" s="6"/>
      <c r="B92" s="7" t="s">
        <v>157</v>
      </c>
      <c r="C92" s="6"/>
      <c r="D92" s="31"/>
      <c r="E92" s="31"/>
      <c r="F92" s="31">
        <f t="shared" si="36"/>
        <v>0</v>
      </c>
      <c r="G92" s="31"/>
      <c r="H92" s="31"/>
      <c r="I92" s="41">
        <v>1.0229999999999999</v>
      </c>
      <c r="J92" s="31"/>
      <c r="K92" s="31"/>
      <c r="L92" s="31"/>
      <c r="M92" s="31"/>
      <c r="N92" s="31"/>
      <c r="O92" s="192"/>
    </row>
    <row r="93" spans="1:75" ht="38.25" hidden="1" x14ac:dyDescent="0.2">
      <c r="A93" s="6" t="s">
        <v>224</v>
      </c>
      <c r="B93" s="103" t="s">
        <v>168</v>
      </c>
      <c r="C93" s="6"/>
      <c r="D93" s="31"/>
      <c r="E93" s="31"/>
      <c r="F93" s="31">
        <f t="shared" si="36"/>
        <v>0</v>
      </c>
      <c r="G93" s="31"/>
      <c r="H93" s="31"/>
      <c r="I93" s="41">
        <v>1.0229999999999999</v>
      </c>
      <c r="J93" s="31"/>
      <c r="K93" s="31"/>
      <c r="L93" s="31"/>
      <c r="M93" s="31"/>
      <c r="N93" s="31"/>
      <c r="O93" s="192"/>
    </row>
    <row r="94" spans="1:75" s="19" customFormat="1" x14ac:dyDescent="0.2">
      <c r="B94" s="18" t="s">
        <v>179</v>
      </c>
      <c r="C94" s="88">
        <f>C50+C64+C82</f>
        <v>1321</v>
      </c>
      <c r="D94" s="48"/>
      <c r="E94" s="48">
        <f>E50+E64+E82</f>
        <v>40086574</v>
      </c>
      <c r="F94" s="48"/>
      <c r="G94" s="48">
        <f>G50+G64+G82</f>
        <v>4197485</v>
      </c>
      <c r="H94" s="48"/>
      <c r="I94" s="143"/>
      <c r="J94" s="48"/>
      <c r="K94" s="48">
        <f>K50+K64+K82</f>
        <v>12429781.001279999</v>
      </c>
      <c r="L94" s="48">
        <f>L50+L64+L82</f>
        <v>837831.83679999993</v>
      </c>
      <c r="M94" s="48">
        <f>M50+M64+M82</f>
        <v>56713840.001280002</v>
      </c>
      <c r="N94" s="48">
        <v>968000</v>
      </c>
      <c r="O94" s="146">
        <f>M94+N94</f>
        <v>57681840.001280002</v>
      </c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</row>
    <row r="95" spans="1:75" s="11" customFormat="1" x14ac:dyDescent="0.2">
      <c r="A95" s="4">
        <v>7</v>
      </c>
      <c r="B95" s="18" t="s">
        <v>180</v>
      </c>
      <c r="C95" s="4">
        <f>SUM(C96:C109)</f>
        <v>371</v>
      </c>
      <c r="D95" s="32"/>
      <c r="E95" s="32">
        <f>SUM(E96:E109)</f>
        <v>10356890</v>
      </c>
      <c r="F95" s="32"/>
      <c r="G95" s="32">
        <f>SUM(G96:G109)</f>
        <v>1084419</v>
      </c>
      <c r="H95" s="32"/>
      <c r="I95" s="47"/>
      <c r="J95" s="32"/>
      <c r="K95" s="32">
        <f>SUM(K96:K109)</f>
        <v>4399174.7908879993</v>
      </c>
      <c r="L95" s="32">
        <f t="shared" ref="L95:O95" si="37">SUM(L96:L109)</f>
        <v>560520.42633599986</v>
      </c>
      <c r="M95" s="32">
        <f t="shared" si="37"/>
        <v>15840483.790888002</v>
      </c>
      <c r="N95" s="32"/>
      <c r="O95" s="190">
        <f t="shared" si="37"/>
        <v>15840483.790888002</v>
      </c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</row>
    <row r="96" spans="1:75" ht="39.75" customHeight="1" x14ac:dyDescent="0.2">
      <c r="A96" s="6" t="s">
        <v>105</v>
      </c>
      <c r="B96" s="14" t="s">
        <v>226</v>
      </c>
      <c r="C96" s="6"/>
      <c r="D96" s="31"/>
      <c r="E96" s="31"/>
      <c r="F96" s="31"/>
      <c r="G96" s="31"/>
      <c r="H96" s="31"/>
      <c r="I96" s="41"/>
      <c r="J96" s="31"/>
      <c r="K96" s="31"/>
      <c r="L96" s="31"/>
      <c r="M96" s="31"/>
      <c r="N96" s="31"/>
      <c r="O96" s="192"/>
    </row>
    <row r="97" spans="1:75" x14ac:dyDescent="0.2">
      <c r="A97" s="6"/>
      <c r="B97" s="10" t="s">
        <v>280</v>
      </c>
      <c r="C97" s="6">
        <v>221</v>
      </c>
      <c r="D97" s="31">
        <v>25796</v>
      </c>
      <c r="E97" s="31">
        <f t="shared" ref="E97:E109" si="38">C97*D97</f>
        <v>5700916</v>
      </c>
      <c r="F97" s="31">
        <f t="shared" ref="F97:F109" si="39">ROUND((D97*10.47143%),0)</f>
        <v>2701</v>
      </c>
      <c r="G97" s="31">
        <f>ROUND((C97*F97),0)</f>
        <v>596921</v>
      </c>
      <c r="H97" s="31">
        <v>9188.07</v>
      </c>
      <c r="I97" s="41">
        <v>1.2904</v>
      </c>
      <c r="J97" s="31">
        <f>H97*I97</f>
        <v>11856.285528</v>
      </c>
      <c r="K97" s="31">
        <f>C97*J97+178.86+314</f>
        <v>2620731.9616879998</v>
      </c>
      <c r="L97" s="31">
        <f>D97+F97+J97</f>
        <v>40353.285528</v>
      </c>
      <c r="M97" s="31">
        <f>E97+G97+K97</f>
        <v>8918568.9616880007</v>
      </c>
      <c r="N97" s="31"/>
      <c r="O97" s="192">
        <f t="shared" ref="O97:O109" si="40">M97+N97</f>
        <v>8918568.9616880007</v>
      </c>
    </row>
    <row r="98" spans="1:75" ht="26.25" customHeight="1" x14ac:dyDescent="0.2">
      <c r="A98" s="6"/>
      <c r="B98" s="10" t="s">
        <v>309</v>
      </c>
      <c r="C98" s="6">
        <v>130</v>
      </c>
      <c r="D98" s="42">
        <v>27087</v>
      </c>
      <c r="E98" s="31">
        <f>C98*D98+52</f>
        <v>3521362</v>
      </c>
      <c r="F98" s="31">
        <f t="shared" si="39"/>
        <v>2836</v>
      </c>
      <c r="G98" s="31">
        <f t="shared" ref="G98:G109" si="41">ROUND((C98*F98),0)</f>
        <v>368680</v>
      </c>
      <c r="H98" s="31">
        <v>9188.07</v>
      </c>
      <c r="I98" s="41">
        <v>1.2904</v>
      </c>
      <c r="J98" s="31">
        <f t="shared" ref="J98:J109" si="42">H98*I98</f>
        <v>11856.285528</v>
      </c>
      <c r="K98" s="31">
        <f t="shared" ref="K98:K109" si="43">C98*J98</f>
        <v>1541317.11864</v>
      </c>
      <c r="L98" s="31">
        <f t="shared" ref="L98:M109" si="44">D98+F98+J98</f>
        <v>41779.285528</v>
      </c>
      <c r="M98" s="31">
        <f t="shared" si="44"/>
        <v>5431359.11864</v>
      </c>
      <c r="N98" s="31"/>
      <c r="O98" s="192">
        <f t="shared" si="40"/>
        <v>5431359.11864</v>
      </c>
    </row>
    <row r="99" spans="1:75" ht="25.5" hidden="1" x14ac:dyDescent="0.2">
      <c r="A99" s="6" t="s">
        <v>106</v>
      </c>
      <c r="B99" s="7" t="s">
        <v>303</v>
      </c>
      <c r="C99" s="6"/>
      <c r="D99" s="31">
        <v>139068</v>
      </c>
      <c r="E99" s="31">
        <f t="shared" si="38"/>
        <v>0</v>
      </c>
      <c r="F99" s="31">
        <f t="shared" si="39"/>
        <v>14562</v>
      </c>
      <c r="G99" s="31">
        <f t="shared" si="41"/>
        <v>0</v>
      </c>
      <c r="H99" s="31">
        <v>9188.07</v>
      </c>
      <c r="I99" s="41">
        <v>1.2904</v>
      </c>
      <c r="J99" s="31">
        <f t="shared" si="42"/>
        <v>11856.285528</v>
      </c>
      <c r="K99" s="31">
        <f t="shared" si="43"/>
        <v>0</v>
      </c>
      <c r="L99" s="31">
        <f t="shared" si="44"/>
        <v>165486.28552800001</v>
      </c>
      <c r="M99" s="31">
        <f t="shared" si="44"/>
        <v>0</v>
      </c>
      <c r="N99" s="31"/>
      <c r="O99" s="192">
        <f t="shared" si="40"/>
        <v>0</v>
      </c>
    </row>
    <row r="100" spans="1:75" hidden="1" x14ac:dyDescent="0.2">
      <c r="A100" s="6"/>
      <c r="B100" s="103" t="s">
        <v>91</v>
      </c>
      <c r="C100" s="6"/>
      <c r="D100" s="31"/>
      <c r="E100" s="31">
        <f t="shared" si="38"/>
        <v>0</v>
      </c>
      <c r="F100" s="31">
        <f t="shared" si="39"/>
        <v>0</v>
      </c>
      <c r="G100" s="31">
        <f t="shared" si="41"/>
        <v>0</v>
      </c>
      <c r="H100" s="31">
        <v>9188.07</v>
      </c>
      <c r="I100" s="41">
        <v>1.2904</v>
      </c>
      <c r="J100" s="31">
        <f t="shared" si="42"/>
        <v>11856.285528</v>
      </c>
      <c r="K100" s="31">
        <f t="shared" si="43"/>
        <v>0</v>
      </c>
      <c r="L100" s="31">
        <f t="shared" si="44"/>
        <v>11856.285528</v>
      </c>
      <c r="M100" s="31">
        <f t="shared" si="44"/>
        <v>0</v>
      </c>
      <c r="N100" s="31"/>
      <c r="O100" s="192">
        <f t="shared" si="40"/>
        <v>0</v>
      </c>
    </row>
    <row r="101" spans="1:75" hidden="1" x14ac:dyDescent="0.2">
      <c r="A101" s="6"/>
      <c r="B101" s="7" t="s">
        <v>92</v>
      </c>
      <c r="C101" s="6"/>
      <c r="D101" s="31"/>
      <c r="E101" s="31">
        <f t="shared" si="38"/>
        <v>0</v>
      </c>
      <c r="F101" s="31">
        <f t="shared" si="39"/>
        <v>0</v>
      </c>
      <c r="G101" s="31">
        <f t="shared" si="41"/>
        <v>0</v>
      </c>
      <c r="H101" s="31">
        <v>9188.07</v>
      </c>
      <c r="I101" s="41">
        <v>1.2904</v>
      </c>
      <c r="J101" s="31">
        <f t="shared" si="42"/>
        <v>11856.285528</v>
      </c>
      <c r="K101" s="31">
        <f t="shared" si="43"/>
        <v>0</v>
      </c>
      <c r="L101" s="31">
        <f t="shared" si="44"/>
        <v>11856.285528</v>
      </c>
      <c r="M101" s="31">
        <f t="shared" si="44"/>
        <v>0</v>
      </c>
      <c r="N101" s="31"/>
      <c r="O101" s="192">
        <f t="shared" si="40"/>
        <v>0</v>
      </c>
    </row>
    <row r="102" spans="1:75" hidden="1" x14ac:dyDescent="0.2">
      <c r="A102" s="6"/>
      <c r="B102" s="103" t="s">
        <v>156</v>
      </c>
      <c r="C102" s="6"/>
      <c r="D102" s="31"/>
      <c r="E102" s="31">
        <f t="shared" si="38"/>
        <v>0</v>
      </c>
      <c r="F102" s="31">
        <f t="shared" si="39"/>
        <v>0</v>
      </c>
      <c r="G102" s="31">
        <f t="shared" si="41"/>
        <v>0</v>
      </c>
      <c r="H102" s="31">
        <v>9188.07</v>
      </c>
      <c r="I102" s="41">
        <v>1.2904</v>
      </c>
      <c r="J102" s="31">
        <f t="shared" si="42"/>
        <v>11856.285528</v>
      </c>
      <c r="K102" s="31">
        <f t="shared" si="43"/>
        <v>0</v>
      </c>
      <c r="L102" s="31">
        <f t="shared" si="44"/>
        <v>11856.285528</v>
      </c>
      <c r="M102" s="31">
        <f t="shared" si="44"/>
        <v>0</v>
      </c>
      <c r="N102" s="31"/>
      <c r="O102" s="192">
        <f t="shared" si="40"/>
        <v>0</v>
      </c>
    </row>
    <row r="103" spans="1:75" hidden="1" x14ac:dyDescent="0.2">
      <c r="A103" s="6"/>
      <c r="B103" s="7" t="s">
        <v>157</v>
      </c>
      <c r="C103" s="6"/>
      <c r="D103" s="31"/>
      <c r="E103" s="31">
        <f t="shared" si="38"/>
        <v>0</v>
      </c>
      <c r="F103" s="31">
        <f t="shared" si="39"/>
        <v>0</v>
      </c>
      <c r="G103" s="31">
        <f t="shared" si="41"/>
        <v>0</v>
      </c>
      <c r="H103" s="31">
        <v>9188.07</v>
      </c>
      <c r="I103" s="41">
        <v>1.2904</v>
      </c>
      <c r="J103" s="31">
        <f t="shared" si="42"/>
        <v>11856.285528</v>
      </c>
      <c r="K103" s="31">
        <f t="shared" si="43"/>
        <v>0</v>
      </c>
      <c r="L103" s="31">
        <f t="shared" si="44"/>
        <v>11856.285528</v>
      </c>
      <c r="M103" s="31">
        <f t="shared" si="44"/>
        <v>0</v>
      </c>
      <c r="N103" s="31"/>
      <c r="O103" s="192">
        <f t="shared" si="40"/>
        <v>0</v>
      </c>
    </row>
    <row r="104" spans="1:75" ht="51" hidden="1" x14ac:dyDescent="0.2">
      <c r="A104" s="6" t="s">
        <v>107</v>
      </c>
      <c r="B104" s="14" t="s">
        <v>155</v>
      </c>
      <c r="C104" s="6"/>
      <c r="D104" s="31"/>
      <c r="E104" s="31">
        <f t="shared" si="38"/>
        <v>0</v>
      </c>
      <c r="F104" s="31">
        <f t="shared" si="39"/>
        <v>0</v>
      </c>
      <c r="G104" s="31">
        <f t="shared" si="41"/>
        <v>0</v>
      </c>
      <c r="H104" s="31">
        <v>9188.07</v>
      </c>
      <c r="I104" s="41">
        <v>1.2904</v>
      </c>
      <c r="J104" s="31">
        <f t="shared" si="42"/>
        <v>11856.285528</v>
      </c>
      <c r="K104" s="31">
        <f t="shared" si="43"/>
        <v>0</v>
      </c>
      <c r="L104" s="31">
        <f t="shared" si="44"/>
        <v>11856.285528</v>
      </c>
      <c r="M104" s="31">
        <f t="shared" si="44"/>
        <v>0</v>
      </c>
      <c r="N104" s="31"/>
      <c r="O104" s="192">
        <f t="shared" si="40"/>
        <v>0</v>
      </c>
    </row>
    <row r="105" spans="1:75" hidden="1" x14ac:dyDescent="0.2">
      <c r="A105" s="6"/>
      <c r="B105" s="10" t="s">
        <v>91</v>
      </c>
      <c r="C105" s="6"/>
      <c r="D105" s="31"/>
      <c r="E105" s="31">
        <f t="shared" si="38"/>
        <v>0</v>
      </c>
      <c r="F105" s="31">
        <f t="shared" si="39"/>
        <v>0</v>
      </c>
      <c r="G105" s="31">
        <f t="shared" si="41"/>
        <v>0</v>
      </c>
      <c r="H105" s="31">
        <v>9188.07</v>
      </c>
      <c r="I105" s="41">
        <v>1.2904</v>
      </c>
      <c r="J105" s="31">
        <f t="shared" si="42"/>
        <v>11856.285528</v>
      </c>
      <c r="K105" s="31">
        <f t="shared" si="43"/>
        <v>0</v>
      </c>
      <c r="L105" s="31">
        <f t="shared" si="44"/>
        <v>11856.285528</v>
      </c>
      <c r="M105" s="31">
        <f t="shared" si="44"/>
        <v>0</v>
      </c>
      <c r="N105" s="31"/>
      <c r="O105" s="192">
        <f t="shared" si="40"/>
        <v>0</v>
      </c>
    </row>
    <row r="106" spans="1:75" hidden="1" x14ac:dyDescent="0.2">
      <c r="A106" s="6"/>
      <c r="B106" s="7" t="s">
        <v>92</v>
      </c>
      <c r="C106" s="6"/>
      <c r="D106" s="31"/>
      <c r="E106" s="31">
        <f t="shared" si="38"/>
        <v>0</v>
      </c>
      <c r="F106" s="31">
        <f t="shared" si="39"/>
        <v>0</v>
      </c>
      <c r="G106" s="31">
        <f t="shared" si="41"/>
        <v>0</v>
      </c>
      <c r="H106" s="31">
        <v>9188.07</v>
      </c>
      <c r="I106" s="41">
        <v>1.2904</v>
      </c>
      <c r="J106" s="31">
        <f t="shared" si="42"/>
        <v>11856.285528</v>
      </c>
      <c r="K106" s="31">
        <f t="shared" si="43"/>
        <v>0</v>
      </c>
      <c r="L106" s="31">
        <f t="shared" si="44"/>
        <v>11856.285528</v>
      </c>
      <c r="M106" s="31">
        <f t="shared" si="44"/>
        <v>0</v>
      </c>
      <c r="N106" s="31"/>
      <c r="O106" s="192">
        <f t="shared" si="40"/>
        <v>0</v>
      </c>
    </row>
    <row r="107" spans="1:75" ht="25.5" x14ac:dyDescent="0.2">
      <c r="A107" s="6"/>
      <c r="B107" s="7" t="s">
        <v>303</v>
      </c>
      <c r="C107" s="6">
        <v>2</v>
      </c>
      <c r="D107" s="31">
        <v>139068</v>
      </c>
      <c r="E107" s="31">
        <f t="shared" si="38"/>
        <v>278136</v>
      </c>
      <c r="F107" s="31">
        <f t="shared" si="39"/>
        <v>14562</v>
      </c>
      <c r="G107" s="31">
        <f t="shared" si="41"/>
        <v>29124</v>
      </c>
      <c r="H107" s="31">
        <v>9188.07</v>
      </c>
      <c r="I107" s="41">
        <v>1.2904</v>
      </c>
      <c r="J107" s="31">
        <f t="shared" si="42"/>
        <v>11856.285528</v>
      </c>
      <c r="K107" s="31">
        <f t="shared" si="43"/>
        <v>23712.571056000001</v>
      </c>
      <c r="L107" s="31">
        <f t="shared" si="44"/>
        <v>165486.28552800001</v>
      </c>
      <c r="M107" s="31">
        <f t="shared" si="44"/>
        <v>330972.57105600002</v>
      </c>
      <c r="N107" s="31"/>
      <c r="O107" s="192">
        <f t="shared" si="40"/>
        <v>330972.57105600002</v>
      </c>
    </row>
    <row r="108" spans="1:75" ht="54" customHeight="1" x14ac:dyDescent="0.2">
      <c r="A108" s="6" t="s">
        <v>112</v>
      </c>
      <c r="B108" s="14" t="s">
        <v>155</v>
      </c>
      <c r="C108" s="6"/>
      <c r="D108" s="31"/>
      <c r="E108" s="31"/>
      <c r="F108" s="31"/>
      <c r="G108" s="31"/>
      <c r="H108" s="31"/>
      <c r="I108" s="41"/>
      <c r="J108" s="31"/>
      <c r="K108" s="31"/>
      <c r="L108" s="31"/>
      <c r="M108" s="31"/>
      <c r="N108" s="31"/>
      <c r="O108" s="192"/>
    </row>
    <row r="109" spans="1:75" x14ac:dyDescent="0.2">
      <c r="A109" s="6"/>
      <c r="B109" s="103" t="s">
        <v>280</v>
      </c>
      <c r="C109" s="6">
        <v>18</v>
      </c>
      <c r="D109" s="31">
        <v>47582</v>
      </c>
      <c r="E109" s="31">
        <f t="shared" si="38"/>
        <v>856476</v>
      </c>
      <c r="F109" s="31">
        <f t="shared" si="39"/>
        <v>4983</v>
      </c>
      <c r="G109" s="31">
        <f t="shared" si="41"/>
        <v>89694</v>
      </c>
      <c r="H109" s="31">
        <v>9188.07</v>
      </c>
      <c r="I109" s="41">
        <v>1.2904</v>
      </c>
      <c r="J109" s="31">
        <f t="shared" si="42"/>
        <v>11856.285528</v>
      </c>
      <c r="K109" s="31">
        <f t="shared" si="43"/>
        <v>213413.13950400002</v>
      </c>
      <c r="L109" s="31">
        <f t="shared" si="44"/>
        <v>64421.285528</v>
      </c>
      <c r="M109" s="31">
        <f t="shared" si="44"/>
        <v>1159583.1395040001</v>
      </c>
      <c r="N109" s="31"/>
      <c r="O109" s="192">
        <f t="shared" si="40"/>
        <v>1159583.1395040001</v>
      </c>
    </row>
    <row r="110" spans="1:75" hidden="1" x14ac:dyDescent="0.2">
      <c r="A110" s="6"/>
      <c r="B110" s="27" t="s">
        <v>92</v>
      </c>
      <c r="C110" s="6"/>
      <c r="D110" s="31"/>
      <c r="E110" s="31"/>
      <c r="F110" s="31"/>
      <c r="G110" s="31"/>
      <c r="H110" s="31"/>
      <c r="I110" s="41"/>
      <c r="J110" s="31"/>
      <c r="K110" s="31"/>
      <c r="L110" s="31"/>
      <c r="M110" s="31"/>
      <c r="N110" s="31"/>
      <c r="O110" s="192"/>
    </row>
    <row r="111" spans="1:75" ht="38.25" hidden="1" x14ac:dyDescent="0.2">
      <c r="A111" s="6" t="s">
        <v>108</v>
      </c>
      <c r="B111" s="14" t="s">
        <v>158</v>
      </c>
      <c r="C111" s="6"/>
      <c r="D111" s="31"/>
      <c r="E111" s="31"/>
      <c r="F111" s="31"/>
      <c r="G111" s="31"/>
      <c r="H111" s="31"/>
      <c r="I111" s="41"/>
      <c r="J111" s="31"/>
      <c r="K111" s="31"/>
      <c r="L111" s="31"/>
      <c r="M111" s="31"/>
      <c r="N111" s="31"/>
      <c r="O111" s="192"/>
    </row>
    <row r="112" spans="1:75" s="11" customFormat="1" x14ac:dyDescent="0.2">
      <c r="A112" s="4">
        <v>8</v>
      </c>
      <c r="B112" s="5" t="s">
        <v>159</v>
      </c>
      <c r="C112" s="4">
        <f>SUM(C113:C121)</f>
        <v>366</v>
      </c>
      <c r="D112" s="32"/>
      <c r="E112" s="32">
        <f>SUM(E113:E121)</f>
        <v>12669966</v>
      </c>
      <c r="F112" s="32"/>
      <c r="G112" s="32">
        <f>SUM(G113:G121)</f>
        <v>1326654</v>
      </c>
      <c r="H112" s="32"/>
      <c r="I112" s="47"/>
      <c r="J112" s="31"/>
      <c r="K112" s="32">
        <f>SUM(K113:K121)</f>
        <v>4339400.5032480005</v>
      </c>
      <c r="L112" s="32">
        <f t="shared" ref="L112:O112" si="45">SUM(L113:L121)</f>
        <v>375214.14211200003</v>
      </c>
      <c r="M112" s="32">
        <f t="shared" si="45"/>
        <v>18336020.503248002</v>
      </c>
      <c r="N112" s="32"/>
      <c r="O112" s="190">
        <f t="shared" si="45"/>
        <v>18336020.503248002</v>
      </c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</row>
    <row r="113" spans="1:15" ht="25.5" x14ac:dyDescent="0.2">
      <c r="A113" s="6" t="s">
        <v>111</v>
      </c>
      <c r="B113" s="14" t="s">
        <v>160</v>
      </c>
      <c r="C113" s="6"/>
      <c r="D113" s="31"/>
      <c r="E113" s="31"/>
      <c r="F113" s="31"/>
      <c r="G113" s="31"/>
      <c r="H113" s="31"/>
      <c r="I113" s="41"/>
      <c r="J113" s="31"/>
      <c r="K113" s="31"/>
      <c r="L113" s="31"/>
      <c r="M113" s="31"/>
      <c r="N113" s="31"/>
      <c r="O113" s="192"/>
    </row>
    <row r="114" spans="1:15" x14ac:dyDescent="0.2">
      <c r="A114" s="6"/>
      <c r="B114" s="10" t="s">
        <v>280</v>
      </c>
      <c r="C114" s="6">
        <v>134</v>
      </c>
      <c r="D114" s="31">
        <v>31306</v>
      </c>
      <c r="E114" s="31">
        <f t="shared" ref="E114:E141" si="46">C114*D114</f>
        <v>4195004</v>
      </c>
      <c r="F114" s="31">
        <f t="shared" ref="F114:F121" si="47">ROUND((D114*10.47143%),0)</f>
        <v>3278</v>
      </c>
      <c r="G114" s="31">
        <f t="shared" ref="G114:G116" si="48">ROUND((C114*F114),0)</f>
        <v>439252</v>
      </c>
      <c r="H114" s="31">
        <v>9188.07</v>
      </c>
      <c r="I114" s="41">
        <v>1.2904</v>
      </c>
      <c r="J114" s="31">
        <f t="shared" ref="J114:J116" si="49">H114*I114</f>
        <v>11856.285528</v>
      </c>
      <c r="K114" s="31">
        <f t="shared" ref="K114:K116" si="50">C114*J114</f>
        <v>1588742.2607520001</v>
      </c>
      <c r="L114" s="31">
        <f t="shared" ref="L114:M116" si="51">D114+F114+J114</f>
        <v>46440.285528</v>
      </c>
      <c r="M114" s="31">
        <f t="shared" si="51"/>
        <v>6222998.2607519999</v>
      </c>
      <c r="N114" s="31"/>
      <c r="O114" s="192">
        <f t="shared" ref="O114:O116" si="52">M114+N114</f>
        <v>6222998.2607519999</v>
      </c>
    </row>
    <row r="115" spans="1:15" ht="21" customHeight="1" x14ac:dyDescent="0.2">
      <c r="A115" s="6"/>
      <c r="B115" s="10" t="s">
        <v>309</v>
      </c>
      <c r="C115" s="6">
        <v>198</v>
      </c>
      <c r="D115" s="31">
        <v>31306</v>
      </c>
      <c r="E115" s="31">
        <f t="shared" si="46"/>
        <v>6198588</v>
      </c>
      <c r="F115" s="31">
        <f t="shared" si="47"/>
        <v>3278</v>
      </c>
      <c r="G115" s="31">
        <f t="shared" si="48"/>
        <v>649044</v>
      </c>
      <c r="H115" s="31">
        <v>9188.07</v>
      </c>
      <c r="I115" s="41">
        <v>1.2904</v>
      </c>
      <c r="J115" s="31">
        <f t="shared" si="49"/>
        <v>11856.285528</v>
      </c>
      <c r="K115" s="31">
        <f t="shared" si="50"/>
        <v>2347544.5345439999</v>
      </c>
      <c r="L115" s="31">
        <f t="shared" si="51"/>
        <v>46440.285528</v>
      </c>
      <c r="M115" s="31">
        <f t="shared" si="51"/>
        <v>9195176.5345440004</v>
      </c>
      <c r="N115" s="31"/>
      <c r="O115" s="192">
        <f t="shared" si="52"/>
        <v>9195176.5345440004</v>
      </c>
    </row>
    <row r="116" spans="1:15" ht="21.75" customHeight="1" x14ac:dyDescent="0.2">
      <c r="A116" s="6"/>
      <c r="B116" s="7" t="s">
        <v>303</v>
      </c>
      <c r="C116" s="6">
        <v>2</v>
      </c>
      <c r="D116" s="31">
        <v>173835</v>
      </c>
      <c r="E116" s="31">
        <f t="shared" si="46"/>
        <v>347670</v>
      </c>
      <c r="F116" s="31">
        <f t="shared" si="47"/>
        <v>18203</v>
      </c>
      <c r="G116" s="31">
        <f t="shared" si="48"/>
        <v>36406</v>
      </c>
      <c r="H116" s="31">
        <v>9188.07</v>
      </c>
      <c r="I116" s="41">
        <v>1.2904</v>
      </c>
      <c r="J116" s="31">
        <f t="shared" si="49"/>
        <v>11856.285528</v>
      </c>
      <c r="K116" s="31">
        <f t="shared" si="50"/>
        <v>23712.571056000001</v>
      </c>
      <c r="L116" s="31">
        <f t="shared" si="51"/>
        <v>203894.28552800001</v>
      </c>
      <c r="M116" s="31">
        <f t="shared" si="51"/>
        <v>407788.57105600002</v>
      </c>
      <c r="N116" s="31"/>
      <c r="O116" s="192">
        <f t="shared" si="52"/>
        <v>407788.57105600002</v>
      </c>
    </row>
    <row r="117" spans="1:15" hidden="1" x14ac:dyDescent="0.2">
      <c r="A117" s="6"/>
      <c r="B117" s="115" t="s">
        <v>91</v>
      </c>
      <c r="C117" s="6"/>
      <c r="D117" s="31"/>
      <c r="E117" s="31">
        <f t="shared" si="46"/>
        <v>0</v>
      </c>
      <c r="F117" s="31">
        <f t="shared" si="47"/>
        <v>0</v>
      </c>
      <c r="G117" s="31"/>
      <c r="H117" s="31"/>
      <c r="I117" s="41">
        <v>1.2904</v>
      </c>
      <c r="J117" s="31"/>
      <c r="K117" s="31"/>
      <c r="L117" s="31"/>
      <c r="M117" s="31"/>
      <c r="N117" s="31"/>
      <c r="O117" s="192"/>
    </row>
    <row r="118" spans="1:15" hidden="1" x14ac:dyDescent="0.2">
      <c r="A118" s="6"/>
      <c r="B118" s="7" t="s">
        <v>92</v>
      </c>
      <c r="C118" s="6"/>
      <c r="D118" s="31">
        <v>173835</v>
      </c>
      <c r="E118" s="31">
        <f t="shared" si="46"/>
        <v>0</v>
      </c>
      <c r="F118" s="31">
        <f t="shared" si="47"/>
        <v>18203</v>
      </c>
      <c r="G118" s="31"/>
      <c r="H118" s="31"/>
      <c r="I118" s="41">
        <v>1.2904</v>
      </c>
      <c r="J118" s="31"/>
      <c r="K118" s="31"/>
      <c r="L118" s="31"/>
      <c r="M118" s="31"/>
      <c r="N118" s="31"/>
      <c r="O118" s="192"/>
    </row>
    <row r="119" spans="1:15" hidden="1" x14ac:dyDescent="0.2">
      <c r="A119" s="6"/>
      <c r="B119" s="115" t="s">
        <v>156</v>
      </c>
      <c r="C119" s="6"/>
      <c r="D119" s="31"/>
      <c r="E119" s="31">
        <f t="shared" si="46"/>
        <v>0</v>
      </c>
      <c r="F119" s="31">
        <f t="shared" si="47"/>
        <v>0</v>
      </c>
      <c r="G119" s="31"/>
      <c r="H119" s="31"/>
      <c r="I119" s="41">
        <v>1.2904</v>
      </c>
      <c r="J119" s="31"/>
      <c r="K119" s="31"/>
      <c r="L119" s="31"/>
      <c r="M119" s="31"/>
      <c r="N119" s="31"/>
      <c r="O119" s="192"/>
    </row>
    <row r="120" spans="1:15" ht="54" hidden="1" customHeight="1" x14ac:dyDescent="0.2">
      <c r="A120" s="6" t="s">
        <v>112</v>
      </c>
      <c r="B120" s="7" t="s">
        <v>157</v>
      </c>
      <c r="C120" s="6"/>
      <c r="D120" s="31"/>
      <c r="E120" s="31"/>
      <c r="F120" s="31">
        <f t="shared" si="47"/>
        <v>0</v>
      </c>
      <c r="G120" s="31"/>
      <c r="H120" s="31"/>
      <c r="I120" s="41">
        <v>1.2904</v>
      </c>
      <c r="J120" s="31"/>
      <c r="K120" s="31"/>
      <c r="L120" s="31"/>
      <c r="M120" s="31"/>
      <c r="N120" s="31"/>
      <c r="O120" s="192"/>
    </row>
    <row r="121" spans="1:15" ht="38.25" customHeight="1" x14ac:dyDescent="0.2">
      <c r="A121" s="6"/>
      <c r="B121" s="14" t="s">
        <v>337</v>
      </c>
      <c r="C121" s="6">
        <v>32</v>
      </c>
      <c r="D121" s="31">
        <v>60272</v>
      </c>
      <c r="E121" s="31">
        <f t="shared" si="46"/>
        <v>1928704</v>
      </c>
      <c r="F121" s="31">
        <f t="shared" si="47"/>
        <v>6311</v>
      </c>
      <c r="G121" s="31">
        <f t="shared" ref="G121" si="53">ROUND((C121*F121),0)</f>
        <v>201952</v>
      </c>
      <c r="H121" s="31">
        <v>9188.07</v>
      </c>
      <c r="I121" s="41">
        <v>1.2904</v>
      </c>
      <c r="J121" s="31">
        <f t="shared" ref="J121" si="54">H121*I121</f>
        <v>11856.285528</v>
      </c>
      <c r="K121" s="31">
        <f t="shared" ref="K121" si="55">C121*J121</f>
        <v>379401.13689600001</v>
      </c>
      <c r="L121" s="31">
        <f t="shared" ref="L121:M121" si="56">D121+F121+J121</f>
        <v>78439.285528000008</v>
      </c>
      <c r="M121" s="31">
        <f t="shared" si="56"/>
        <v>2510057.1368960002</v>
      </c>
      <c r="N121" s="31"/>
      <c r="O121" s="192">
        <f t="shared" ref="O121" si="57">M121+N121</f>
        <v>2510057.1368960002</v>
      </c>
    </row>
    <row r="122" spans="1:15" hidden="1" x14ac:dyDescent="0.2">
      <c r="A122" s="6"/>
      <c r="B122" s="10" t="s">
        <v>91</v>
      </c>
      <c r="C122" s="6"/>
      <c r="D122" s="31"/>
      <c r="E122" s="31"/>
      <c r="F122" s="31"/>
      <c r="G122" s="31"/>
      <c r="H122" s="31"/>
      <c r="I122" s="41"/>
      <c r="J122" s="31"/>
      <c r="K122" s="31"/>
      <c r="L122" s="31"/>
      <c r="M122" s="31"/>
      <c r="N122" s="31"/>
      <c r="O122" s="192"/>
    </row>
    <row r="123" spans="1:15" hidden="1" x14ac:dyDescent="0.2">
      <c r="A123" s="6"/>
      <c r="B123" s="7" t="s">
        <v>92</v>
      </c>
      <c r="C123" s="6"/>
      <c r="D123" s="31"/>
      <c r="E123" s="31"/>
      <c r="F123" s="31"/>
      <c r="G123" s="31"/>
      <c r="H123" s="31"/>
      <c r="I123" s="41"/>
      <c r="J123" s="31"/>
      <c r="K123" s="31"/>
      <c r="L123" s="31"/>
      <c r="M123" s="31"/>
      <c r="N123" s="31"/>
      <c r="O123" s="192"/>
    </row>
    <row r="124" spans="1:15" ht="25.5" hidden="1" x14ac:dyDescent="0.2">
      <c r="A124" s="6"/>
      <c r="B124" s="7" t="s">
        <v>303</v>
      </c>
      <c r="C124" s="6"/>
      <c r="D124" s="31"/>
      <c r="E124" s="31"/>
      <c r="F124" s="31"/>
      <c r="G124" s="31"/>
      <c r="H124" s="31"/>
      <c r="I124" s="41"/>
      <c r="J124" s="31"/>
      <c r="K124" s="31"/>
      <c r="L124" s="31"/>
      <c r="M124" s="31"/>
      <c r="N124" s="31"/>
      <c r="O124" s="192"/>
    </row>
    <row r="125" spans="1:15" ht="51" hidden="1" x14ac:dyDescent="0.2">
      <c r="A125" s="6" t="s">
        <v>113</v>
      </c>
      <c r="B125" s="15" t="s">
        <v>163</v>
      </c>
      <c r="C125" s="6"/>
      <c r="D125" s="31"/>
      <c r="E125" s="31"/>
      <c r="F125" s="31"/>
      <c r="G125" s="31"/>
      <c r="H125" s="31"/>
      <c r="I125" s="41"/>
      <c r="J125" s="31"/>
      <c r="K125" s="31"/>
      <c r="L125" s="31"/>
      <c r="M125" s="31"/>
      <c r="N125" s="31"/>
      <c r="O125" s="192"/>
    </row>
    <row r="126" spans="1:15" hidden="1" x14ac:dyDescent="0.2">
      <c r="A126" s="6"/>
      <c r="B126" s="103" t="s">
        <v>91</v>
      </c>
      <c r="C126" s="6"/>
      <c r="D126" s="31"/>
      <c r="E126" s="31"/>
      <c r="F126" s="31"/>
      <c r="G126" s="31"/>
      <c r="H126" s="31"/>
      <c r="I126" s="41"/>
      <c r="J126" s="31"/>
      <c r="K126" s="31"/>
      <c r="L126" s="31"/>
      <c r="M126" s="31"/>
      <c r="N126" s="31"/>
      <c r="O126" s="192"/>
    </row>
    <row r="127" spans="1:15" hidden="1" x14ac:dyDescent="0.2">
      <c r="A127" s="6"/>
      <c r="B127" s="7" t="s">
        <v>92</v>
      </c>
      <c r="C127" s="6"/>
      <c r="D127" s="31"/>
      <c r="E127" s="31"/>
      <c r="F127" s="31"/>
      <c r="G127" s="31"/>
      <c r="H127" s="31"/>
      <c r="I127" s="41"/>
      <c r="J127" s="31"/>
      <c r="K127" s="31"/>
      <c r="L127" s="31"/>
      <c r="M127" s="31"/>
      <c r="N127" s="31"/>
      <c r="O127" s="192"/>
    </row>
    <row r="128" spans="1:15" hidden="1" x14ac:dyDescent="0.2">
      <c r="A128" s="6"/>
      <c r="B128" s="103" t="s">
        <v>156</v>
      </c>
      <c r="C128" s="6"/>
      <c r="D128" s="31"/>
      <c r="E128" s="31"/>
      <c r="F128" s="31"/>
      <c r="G128" s="31"/>
      <c r="H128" s="31"/>
      <c r="I128" s="41"/>
      <c r="J128" s="31"/>
      <c r="K128" s="31"/>
      <c r="L128" s="31"/>
      <c r="M128" s="31"/>
      <c r="N128" s="31"/>
      <c r="O128" s="192"/>
    </row>
    <row r="129" spans="1:75" hidden="1" x14ac:dyDescent="0.2">
      <c r="A129" s="6"/>
      <c r="B129" s="7" t="s">
        <v>157</v>
      </c>
      <c r="C129" s="6"/>
      <c r="D129" s="31"/>
      <c r="E129" s="31"/>
      <c r="F129" s="31"/>
      <c r="G129" s="31"/>
      <c r="H129" s="31"/>
      <c r="I129" s="41"/>
      <c r="J129" s="31"/>
      <c r="K129" s="31"/>
      <c r="L129" s="31"/>
      <c r="M129" s="31"/>
      <c r="N129" s="31"/>
      <c r="O129" s="192"/>
    </row>
    <row r="130" spans="1:75" ht="38.25" hidden="1" x14ac:dyDescent="0.2">
      <c r="A130" s="6" t="s">
        <v>114</v>
      </c>
      <c r="B130" s="103" t="s">
        <v>162</v>
      </c>
      <c r="C130" s="6"/>
      <c r="D130" s="31"/>
      <c r="E130" s="31"/>
      <c r="F130" s="31"/>
      <c r="G130" s="31"/>
      <c r="H130" s="31"/>
      <c r="I130" s="41"/>
      <c r="J130" s="31"/>
      <c r="K130" s="31"/>
      <c r="L130" s="31"/>
      <c r="M130" s="31"/>
      <c r="N130" s="31"/>
      <c r="O130" s="192"/>
    </row>
    <row r="131" spans="1:75" s="11" customFormat="1" x14ac:dyDescent="0.2">
      <c r="A131" s="4">
        <v>9</v>
      </c>
      <c r="B131" s="5" t="s">
        <v>165</v>
      </c>
      <c r="C131" s="4">
        <f>SUM(C132:C133)</f>
        <v>20</v>
      </c>
      <c r="D131" s="32"/>
      <c r="E131" s="32">
        <f>SUM(E132:E133)</f>
        <v>708760</v>
      </c>
      <c r="F131" s="31"/>
      <c r="G131" s="32">
        <f>SUM(G132:G133)</f>
        <v>74220</v>
      </c>
      <c r="H131" s="32"/>
      <c r="I131" s="47"/>
      <c r="J131" s="31"/>
      <c r="K131" s="32">
        <f>SUM(K132:K133)</f>
        <v>237125.71056000001</v>
      </c>
      <c r="L131" s="32">
        <f t="shared" ref="L131:O131" si="58">SUM(L132:L133)</f>
        <v>51005.285528</v>
      </c>
      <c r="M131" s="32">
        <f t="shared" si="58"/>
        <v>1020105.71056</v>
      </c>
      <c r="N131" s="32"/>
      <c r="O131" s="190">
        <f t="shared" si="58"/>
        <v>1020105.71056</v>
      </c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</row>
    <row r="132" spans="1:75" ht="25.5" x14ac:dyDescent="0.2">
      <c r="A132" s="6" t="s">
        <v>115</v>
      </c>
      <c r="B132" s="14" t="s">
        <v>166</v>
      </c>
      <c r="C132" s="6"/>
      <c r="D132" s="31"/>
      <c r="E132" s="31"/>
      <c r="F132" s="31"/>
      <c r="G132" s="31"/>
      <c r="H132" s="31"/>
      <c r="I132" s="41"/>
      <c r="J132" s="31"/>
      <c r="K132" s="31"/>
      <c r="L132" s="31"/>
      <c r="M132" s="31"/>
      <c r="N132" s="31"/>
      <c r="O132" s="192"/>
    </row>
    <row r="133" spans="1:75" x14ac:dyDescent="0.2">
      <c r="A133" s="6"/>
      <c r="B133" s="103" t="s">
        <v>280</v>
      </c>
      <c r="C133" s="6">
        <v>20</v>
      </c>
      <c r="D133" s="31">
        <v>35438</v>
      </c>
      <c r="E133" s="31">
        <f t="shared" si="46"/>
        <v>708760</v>
      </c>
      <c r="F133" s="31">
        <f t="shared" ref="F133" si="59">ROUND((D133*10.47143%),0)</f>
        <v>3711</v>
      </c>
      <c r="G133" s="31">
        <f t="shared" ref="G133" si="60">ROUND((C133*F133),0)</f>
        <v>74220</v>
      </c>
      <c r="H133" s="31">
        <v>9188.07</v>
      </c>
      <c r="I133" s="41">
        <v>1.2904</v>
      </c>
      <c r="J133" s="31">
        <f t="shared" ref="J133" si="61">H133*I133</f>
        <v>11856.285528</v>
      </c>
      <c r="K133" s="31">
        <f t="shared" ref="K133" si="62">C133*J133</f>
        <v>237125.71056000001</v>
      </c>
      <c r="L133" s="31">
        <f t="shared" ref="L133:M133" si="63">D133+F133+J133</f>
        <v>51005.285528</v>
      </c>
      <c r="M133" s="31">
        <f t="shared" si="63"/>
        <v>1020105.71056</v>
      </c>
      <c r="N133" s="31"/>
      <c r="O133" s="192">
        <f t="shared" ref="O133" si="64">M133+N133</f>
        <v>1020105.71056</v>
      </c>
    </row>
    <row r="134" spans="1:75" hidden="1" x14ac:dyDescent="0.2">
      <c r="A134" s="6"/>
      <c r="B134" s="7" t="s">
        <v>305</v>
      </c>
      <c r="C134" s="6"/>
      <c r="D134" s="31"/>
      <c r="E134" s="31">
        <f t="shared" si="46"/>
        <v>0</v>
      </c>
      <c r="F134" s="31"/>
      <c r="G134" s="31"/>
      <c r="H134" s="31"/>
      <c r="I134" s="41"/>
      <c r="J134" s="31"/>
      <c r="K134" s="31"/>
      <c r="L134" s="31"/>
      <c r="M134" s="31"/>
      <c r="N134" s="31"/>
      <c r="O134" s="192"/>
    </row>
    <row r="135" spans="1:75" ht="54" hidden="1" customHeight="1" x14ac:dyDescent="0.2">
      <c r="A135" s="6" t="s">
        <v>116</v>
      </c>
      <c r="B135" s="15" t="s">
        <v>167</v>
      </c>
      <c r="C135" s="6"/>
      <c r="D135" s="31"/>
      <c r="E135" s="31">
        <f t="shared" si="46"/>
        <v>0</v>
      </c>
      <c r="F135" s="31"/>
      <c r="G135" s="31"/>
      <c r="H135" s="31"/>
      <c r="I135" s="41"/>
      <c r="J135" s="31"/>
      <c r="K135" s="31"/>
      <c r="L135" s="31"/>
      <c r="M135" s="31"/>
      <c r="N135" s="31"/>
      <c r="O135" s="192"/>
    </row>
    <row r="136" spans="1:75" hidden="1" x14ac:dyDescent="0.2">
      <c r="A136" s="6"/>
      <c r="B136" s="103" t="s">
        <v>156</v>
      </c>
      <c r="C136" s="6"/>
      <c r="D136" s="31"/>
      <c r="E136" s="31">
        <f t="shared" si="46"/>
        <v>0</v>
      </c>
      <c r="F136" s="31"/>
      <c r="G136" s="31"/>
      <c r="H136" s="31"/>
      <c r="I136" s="41"/>
      <c r="J136" s="31"/>
      <c r="K136" s="31"/>
      <c r="L136" s="31"/>
      <c r="M136" s="31"/>
      <c r="N136" s="31"/>
      <c r="O136" s="192"/>
    </row>
    <row r="137" spans="1:75" hidden="1" x14ac:dyDescent="0.2">
      <c r="A137" s="6"/>
      <c r="B137" s="7" t="s">
        <v>157</v>
      </c>
      <c r="C137" s="6"/>
      <c r="D137" s="31"/>
      <c r="E137" s="31">
        <f t="shared" si="46"/>
        <v>0</v>
      </c>
      <c r="F137" s="31"/>
      <c r="G137" s="31"/>
      <c r="H137" s="31"/>
      <c r="I137" s="41"/>
      <c r="J137" s="31"/>
      <c r="K137" s="31"/>
      <c r="L137" s="31"/>
      <c r="M137" s="31"/>
      <c r="N137" s="31"/>
      <c r="O137" s="192"/>
    </row>
    <row r="138" spans="1:75" ht="51" hidden="1" x14ac:dyDescent="0.2">
      <c r="A138" s="6" t="s">
        <v>117</v>
      </c>
      <c r="B138" s="15" t="s">
        <v>153</v>
      </c>
      <c r="C138" s="6"/>
      <c r="D138" s="31"/>
      <c r="E138" s="31">
        <f t="shared" si="46"/>
        <v>0</v>
      </c>
      <c r="F138" s="31"/>
      <c r="G138" s="31"/>
      <c r="H138" s="31"/>
      <c r="I138" s="41"/>
      <c r="J138" s="31"/>
      <c r="K138" s="31"/>
      <c r="L138" s="31"/>
      <c r="M138" s="31"/>
      <c r="N138" s="31"/>
      <c r="O138" s="192"/>
    </row>
    <row r="139" spans="1:75" hidden="1" x14ac:dyDescent="0.2">
      <c r="A139" s="6"/>
      <c r="B139" s="103" t="s">
        <v>156</v>
      </c>
      <c r="C139" s="6"/>
      <c r="D139" s="31"/>
      <c r="E139" s="31">
        <f t="shared" si="46"/>
        <v>0</v>
      </c>
      <c r="F139" s="31"/>
      <c r="G139" s="31"/>
      <c r="H139" s="31"/>
      <c r="I139" s="41"/>
      <c r="J139" s="31"/>
      <c r="K139" s="31"/>
      <c r="L139" s="31"/>
      <c r="M139" s="31"/>
      <c r="N139" s="31"/>
      <c r="O139" s="192"/>
    </row>
    <row r="140" spans="1:75" hidden="1" x14ac:dyDescent="0.2">
      <c r="A140" s="6"/>
      <c r="B140" s="7" t="s">
        <v>157</v>
      </c>
      <c r="C140" s="6"/>
      <c r="D140" s="31"/>
      <c r="E140" s="31">
        <f t="shared" si="46"/>
        <v>0</v>
      </c>
      <c r="F140" s="31"/>
      <c r="G140" s="31"/>
      <c r="H140" s="31"/>
      <c r="I140" s="41"/>
      <c r="J140" s="31"/>
      <c r="K140" s="31"/>
      <c r="L140" s="31"/>
      <c r="M140" s="31"/>
      <c r="N140" s="31"/>
      <c r="O140" s="192"/>
    </row>
    <row r="141" spans="1:75" ht="38.25" hidden="1" x14ac:dyDescent="0.2">
      <c r="A141" s="6" t="s">
        <v>118</v>
      </c>
      <c r="B141" s="103" t="s">
        <v>168</v>
      </c>
      <c r="C141" s="6"/>
      <c r="D141" s="31"/>
      <c r="E141" s="31">
        <f t="shared" si="46"/>
        <v>0</v>
      </c>
      <c r="F141" s="31"/>
      <c r="G141" s="31"/>
      <c r="H141" s="31"/>
      <c r="I141" s="41"/>
      <c r="J141" s="31"/>
      <c r="K141" s="31"/>
      <c r="L141" s="31"/>
      <c r="M141" s="31"/>
      <c r="N141" s="31"/>
      <c r="O141" s="192"/>
    </row>
    <row r="142" spans="1:75" s="19" customFormat="1" x14ac:dyDescent="0.2">
      <c r="B142" s="18" t="s">
        <v>181</v>
      </c>
      <c r="C142" s="88">
        <f>C95+C112+C131</f>
        <v>757</v>
      </c>
      <c r="D142" s="48"/>
      <c r="E142" s="48">
        <f>E95+E112+E131</f>
        <v>23735616</v>
      </c>
      <c r="F142" s="48"/>
      <c r="G142" s="48">
        <f>G95+G112+G131</f>
        <v>2485293</v>
      </c>
      <c r="H142" s="48"/>
      <c r="I142" s="143"/>
      <c r="J142" s="143"/>
      <c r="K142" s="48">
        <f>K95+K112+K131</f>
        <v>8975701.0046959985</v>
      </c>
      <c r="L142" s="48">
        <f t="shared" ref="L142:M142" si="65">L95+L112+L131</f>
        <v>986739.85397599987</v>
      </c>
      <c r="M142" s="48">
        <f t="shared" si="65"/>
        <v>35196610.004696004</v>
      </c>
      <c r="N142" s="48">
        <v>286000</v>
      </c>
      <c r="O142" s="146">
        <f>M142+N142</f>
        <v>35482610.004696004</v>
      </c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</row>
    <row r="143" spans="1:75" s="11" customFormat="1" x14ac:dyDescent="0.2">
      <c r="A143" s="4">
        <v>10</v>
      </c>
      <c r="B143" s="18" t="s">
        <v>182</v>
      </c>
      <c r="C143" s="4">
        <f>SUM(C144:C156)</f>
        <v>132</v>
      </c>
      <c r="D143" s="32"/>
      <c r="E143" s="32">
        <f>SUM(E144:E156)</f>
        <v>3535008</v>
      </c>
      <c r="F143" s="32"/>
      <c r="G143" s="32">
        <f>SUM(G144:G156)</f>
        <v>370140</v>
      </c>
      <c r="H143" s="32"/>
      <c r="I143" s="32"/>
      <c r="J143" s="32"/>
      <c r="K143" s="32">
        <f>SUM(K144:K156)</f>
        <v>2098232.7252000002</v>
      </c>
      <c r="L143" s="32"/>
      <c r="M143" s="32">
        <f>SUM(M144:M156)</f>
        <v>6003380.7252000002</v>
      </c>
      <c r="N143" s="32"/>
      <c r="O143" s="190">
        <f>M143+N143</f>
        <v>6003380.7252000002</v>
      </c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</row>
    <row r="144" spans="1:75" ht="51" x14ac:dyDescent="0.2">
      <c r="A144" s="6" t="s">
        <v>119</v>
      </c>
      <c r="B144" s="14" t="s">
        <v>226</v>
      </c>
      <c r="C144" s="6"/>
      <c r="D144" s="31"/>
      <c r="E144" s="31"/>
      <c r="F144" s="31"/>
      <c r="G144" s="31"/>
      <c r="H144" s="31"/>
      <c r="I144" s="41"/>
      <c r="J144" s="31"/>
      <c r="K144" s="31"/>
      <c r="L144" s="31"/>
      <c r="M144" s="31"/>
      <c r="N144" s="31"/>
      <c r="O144" s="192"/>
    </row>
    <row r="145" spans="1:75" x14ac:dyDescent="0.2">
      <c r="A145" s="6"/>
      <c r="B145" s="10" t="s">
        <v>280</v>
      </c>
      <c r="C145" s="6">
        <v>18</v>
      </c>
      <c r="D145" s="31">
        <v>25796</v>
      </c>
      <c r="E145" s="31">
        <f t="shared" ref="E145:E147" si="66">C145*D145</f>
        <v>464328</v>
      </c>
      <c r="F145" s="31">
        <f t="shared" ref="F145:F156" si="67">ROUND((D145*10.47143%),0)</f>
        <v>2701</v>
      </c>
      <c r="G145" s="31">
        <f>ROUND((C145*F145),0)</f>
        <v>48618</v>
      </c>
      <c r="H145" s="31">
        <v>9188.07</v>
      </c>
      <c r="I145" s="41">
        <v>1.73</v>
      </c>
      <c r="J145" s="31">
        <f>H145*I145</f>
        <v>15895.3611</v>
      </c>
      <c r="K145" s="31">
        <f>C145*J145+45.06</f>
        <v>286161.55979999999</v>
      </c>
      <c r="L145" s="31">
        <f t="shared" ref="L145" si="68">D145+F145+J145</f>
        <v>44392.361100000002</v>
      </c>
      <c r="M145" s="31">
        <f t="shared" ref="M145" si="69">E145+G145+K145</f>
        <v>799107.55979999993</v>
      </c>
      <c r="N145" s="31"/>
      <c r="O145" s="192">
        <f t="shared" ref="O145" si="70">M145+N145</f>
        <v>799107.55979999993</v>
      </c>
    </row>
    <row r="146" spans="1:75" x14ac:dyDescent="0.2">
      <c r="A146" s="6"/>
      <c r="B146" s="10" t="s">
        <v>309</v>
      </c>
      <c r="C146" s="6">
        <v>102</v>
      </c>
      <c r="D146" s="31">
        <v>25796</v>
      </c>
      <c r="E146" s="31">
        <f t="shared" si="66"/>
        <v>2631192</v>
      </c>
      <c r="F146" s="31">
        <f t="shared" si="67"/>
        <v>2701</v>
      </c>
      <c r="G146" s="31">
        <f>ROUND((C146*F146),0)</f>
        <v>275502</v>
      </c>
      <c r="H146" s="31">
        <v>9188.07</v>
      </c>
      <c r="I146" s="41">
        <v>1.73</v>
      </c>
      <c r="J146" s="31">
        <f>H146*I146</f>
        <v>15895.3611</v>
      </c>
      <c r="K146" s="31">
        <f>C146*J146</f>
        <v>1621326.8322000001</v>
      </c>
      <c r="L146" s="31">
        <f t="shared" ref="L146:M156" si="71">D146+F146+J146</f>
        <v>44392.361100000002</v>
      </c>
      <c r="M146" s="31">
        <f t="shared" si="71"/>
        <v>4528020.8322000001</v>
      </c>
      <c r="N146" s="31"/>
      <c r="O146" s="192">
        <f t="shared" ref="O146" si="72">M146+N146</f>
        <v>4528020.8322000001</v>
      </c>
    </row>
    <row r="147" spans="1:75" ht="25.5" x14ac:dyDescent="0.2">
      <c r="A147" s="6"/>
      <c r="B147" s="7" t="s">
        <v>303</v>
      </c>
      <c r="C147" s="6"/>
      <c r="D147" s="31">
        <v>139068</v>
      </c>
      <c r="E147" s="31">
        <f t="shared" si="66"/>
        <v>0</v>
      </c>
      <c r="F147" s="31">
        <f t="shared" si="67"/>
        <v>14562</v>
      </c>
      <c r="G147" s="31">
        <f t="shared" ref="G147" si="73">ROUND((C147*F147),0)</f>
        <v>0</v>
      </c>
      <c r="H147" s="31">
        <v>9188.07</v>
      </c>
      <c r="I147" s="41">
        <v>1.73</v>
      </c>
      <c r="J147" s="31">
        <f t="shared" ref="J147:J156" si="74">H147*I147</f>
        <v>15895.3611</v>
      </c>
      <c r="K147" s="31">
        <f t="shared" ref="K147:K156" si="75">C147*J147</f>
        <v>0</v>
      </c>
      <c r="L147" s="31">
        <f t="shared" si="71"/>
        <v>169525.36110000001</v>
      </c>
      <c r="M147" s="31">
        <f t="shared" si="71"/>
        <v>0</v>
      </c>
      <c r="N147" s="31"/>
      <c r="O147" s="192">
        <f>M147+N147</f>
        <v>0</v>
      </c>
    </row>
    <row r="148" spans="1:75" hidden="1" x14ac:dyDescent="0.2">
      <c r="A148" s="6" t="s">
        <v>120</v>
      </c>
      <c r="B148" s="115" t="s">
        <v>91</v>
      </c>
      <c r="C148" s="6"/>
      <c r="D148" s="31"/>
      <c r="E148" s="31"/>
      <c r="F148" s="31">
        <f t="shared" si="67"/>
        <v>0</v>
      </c>
      <c r="G148" s="31"/>
      <c r="H148" s="31">
        <v>9188.07</v>
      </c>
      <c r="I148" s="41">
        <v>1.73</v>
      </c>
      <c r="J148" s="31">
        <f t="shared" si="74"/>
        <v>15895.3611</v>
      </c>
      <c r="K148" s="31">
        <f t="shared" si="75"/>
        <v>0</v>
      </c>
      <c r="L148" s="31">
        <f t="shared" si="71"/>
        <v>15895.3611</v>
      </c>
      <c r="M148" s="31">
        <f t="shared" si="71"/>
        <v>0</v>
      </c>
      <c r="N148" s="31"/>
      <c r="O148" s="192">
        <f t="shared" ref="O148:O156" si="76">M148+N148</f>
        <v>0</v>
      </c>
    </row>
    <row r="149" spans="1:75" hidden="1" x14ac:dyDescent="0.2">
      <c r="A149" s="6"/>
      <c r="B149" s="7" t="s">
        <v>92</v>
      </c>
      <c r="C149" s="6"/>
      <c r="D149" s="31"/>
      <c r="E149" s="31"/>
      <c r="F149" s="31">
        <f t="shared" si="67"/>
        <v>0</v>
      </c>
      <c r="G149" s="31"/>
      <c r="H149" s="31">
        <v>9188.07</v>
      </c>
      <c r="I149" s="41">
        <v>1.73</v>
      </c>
      <c r="J149" s="31">
        <f t="shared" si="74"/>
        <v>15895.3611</v>
      </c>
      <c r="K149" s="31">
        <f t="shared" si="75"/>
        <v>0</v>
      </c>
      <c r="L149" s="31">
        <f t="shared" si="71"/>
        <v>15895.3611</v>
      </c>
      <c r="M149" s="31">
        <f t="shared" si="71"/>
        <v>0</v>
      </c>
      <c r="N149" s="31"/>
      <c r="O149" s="192">
        <f t="shared" si="76"/>
        <v>0</v>
      </c>
    </row>
    <row r="150" spans="1:75" hidden="1" x14ac:dyDescent="0.2">
      <c r="A150" s="6"/>
      <c r="B150" s="115" t="s">
        <v>156</v>
      </c>
      <c r="C150" s="6"/>
      <c r="D150" s="31"/>
      <c r="E150" s="31"/>
      <c r="F150" s="31">
        <f t="shared" si="67"/>
        <v>0</v>
      </c>
      <c r="G150" s="31"/>
      <c r="H150" s="31">
        <v>9188.07</v>
      </c>
      <c r="I150" s="41">
        <v>1.73</v>
      </c>
      <c r="J150" s="31">
        <f t="shared" si="74"/>
        <v>15895.3611</v>
      </c>
      <c r="K150" s="31">
        <f t="shared" si="75"/>
        <v>0</v>
      </c>
      <c r="L150" s="31">
        <f t="shared" si="71"/>
        <v>15895.3611</v>
      </c>
      <c r="M150" s="31">
        <f t="shared" si="71"/>
        <v>0</v>
      </c>
      <c r="N150" s="31"/>
      <c r="O150" s="192">
        <f t="shared" si="76"/>
        <v>0</v>
      </c>
    </row>
    <row r="151" spans="1:75" hidden="1" x14ac:dyDescent="0.2">
      <c r="A151" s="6"/>
      <c r="B151" s="7" t="s">
        <v>157</v>
      </c>
      <c r="C151" s="6"/>
      <c r="D151" s="31"/>
      <c r="E151" s="31"/>
      <c r="F151" s="31">
        <f t="shared" si="67"/>
        <v>0</v>
      </c>
      <c r="G151" s="31"/>
      <c r="H151" s="31">
        <v>9188.07</v>
      </c>
      <c r="I151" s="41">
        <v>1.73</v>
      </c>
      <c r="J151" s="31">
        <f t="shared" si="74"/>
        <v>15895.3611</v>
      </c>
      <c r="K151" s="31">
        <f t="shared" si="75"/>
        <v>0</v>
      </c>
      <c r="L151" s="31">
        <f t="shared" si="71"/>
        <v>15895.3611</v>
      </c>
      <c r="M151" s="31">
        <f t="shared" si="71"/>
        <v>0</v>
      </c>
      <c r="N151" s="31"/>
      <c r="O151" s="192">
        <f t="shared" si="76"/>
        <v>0</v>
      </c>
    </row>
    <row r="152" spans="1:75" ht="51" hidden="1" x14ac:dyDescent="0.2">
      <c r="A152" s="6"/>
      <c r="B152" s="14" t="s">
        <v>155</v>
      </c>
      <c r="C152" s="6"/>
      <c r="D152" s="31"/>
      <c r="E152" s="31"/>
      <c r="F152" s="31">
        <f t="shared" si="67"/>
        <v>0</v>
      </c>
      <c r="G152" s="31"/>
      <c r="H152" s="31">
        <v>9188.07</v>
      </c>
      <c r="I152" s="41">
        <v>1.73</v>
      </c>
      <c r="J152" s="31">
        <f t="shared" si="74"/>
        <v>15895.3611</v>
      </c>
      <c r="K152" s="31">
        <f t="shared" si="75"/>
        <v>0</v>
      </c>
      <c r="L152" s="31">
        <f t="shared" si="71"/>
        <v>15895.3611</v>
      </c>
      <c r="M152" s="31">
        <f t="shared" si="71"/>
        <v>0</v>
      </c>
      <c r="N152" s="31"/>
      <c r="O152" s="192">
        <f t="shared" si="76"/>
        <v>0</v>
      </c>
    </row>
    <row r="153" spans="1:75" hidden="1" x14ac:dyDescent="0.2">
      <c r="A153" s="6" t="s">
        <v>121</v>
      </c>
      <c r="B153" s="10" t="s">
        <v>91</v>
      </c>
      <c r="C153" s="6"/>
      <c r="D153" s="31"/>
      <c r="E153" s="31"/>
      <c r="F153" s="31">
        <f t="shared" si="67"/>
        <v>0</v>
      </c>
      <c r="G153" s="31"/>
      <c r="H153" s="31">
        <v>9188.07</v>
      </c>
      <c r="I153" s="41">
        <v>1.73</v>
      </c>
      <c r="J153" s="31">
        <f t="shared" si="74"/>
        <v>15895.3611</v>
      </c>
      <c r="K153" s="31">
        <f t="shared" si="75"/>
        <v>0</v>
      </c>
      <c r="L153" s="31">
        <f t="shared" si="71"/>
        <v>15895.3611</v>
      </c>
      <c r="M153" s="31">
        <f t="shared" si="71"/>
        <v>0</v>
      </c>
      <c r="N153" s="31"/>
      <c r="O153" s="192">
        <f t="shared" si="76"/>
        <v>0</v>
      </c>
    </row>
    <row r="154" spans="1:75" hidden="1" x14ac:dyDescent="0.2">
      <c r="A154" s="6"/>
      <c r="B154" s="7" t="s">
        <v>92</v>
      </c>
      <c r="C154" s="6"/>
      <c r="D154" s="31"/>
      <c r="E154" s="31"/>
      <c r="F154" s="31">
        <f t="shared" si="67"/>
        <v>0</v>
      </c>
      <c r="G154" s="31"/>
      <c r="H154" s="31">
        <v>9188.07</v>
      </c>
      <c r="I154" s="41">
        <v>1.73</v>
      </c>
      <c r="J154" s="31">
        <f t="shared" si="74"/>
        <v>15895.3611</v>
      </c>
      <c r="K154" s="31">
        <f t="shared" si="75"/>
        <v>0</v>
      </c>
      <c r="L154" s="31">
        <f t="shared" si="71"/>
        <v>15895.3611</v>
      </c>
      <c r="M154" s="31">
        <f t="shared" si="71"/>
        <v>0</v>
      </c>
      <c r="N154" s="31"/>
      <c r="O154" s="192">
        <f t="shared" si="76"/>
        <v>0</v>
      </c>
    </row>
    <row r="155" spans="1:75" ht="25.5" hidden="1" x14ac:dyDescent="0.2">
      <c r="A155" s="6"/>
      <c r="B155" s="7" t="s">
        <v>303</v>
      </c>
      <c r="C155" s="6"/>
      <c r="D155" s="31">
        <v>139068</v>
      </c>
      <c r="E155" s="31"/>
      <c r="F155" s="31">
        <f t="shared" si="67"/>
        <v>14562</v>
      </c>
      <c r="G155" s="31"/>
      <c r="H155" s="31">
        <v>9188.07</v>
      </c>
      <c r="I155" s="41">
        <v>1.73</v>
      </c>
      <c r="J155" s="31">
        <f t="shared" si="74"/>
        <v>15895.3611</v>
      </c>
      <c r="K155" s="31">
        <f t="shared" si="75"/>
        <v>0</v>
      </c>
      <c r="L155" s="31">
        <f t="shared" si="71"/>
        <v>169525.36110000001</v>
      </c>
      <c r="M155" s="31">
        <f t="shared" si="71"/>
        <v>0</v>
      </c>
      <c r="N155" s="31"/>
      <c r="O155" s="192">
        <f t="shared" si="76"/>
        <v>0</v>
      </c>
    </row>
    <row r="156" spans="1:75" ht="38.25" x14ac:dyDescent="0.2">
      <c r="A156" s="6" t="s">
        <v>122</v>
      </c>
      <c r="B156" s="14" t="s">
        <v>158</v>
      </c>
      <c r="C156" s="6">
        <v>12</v>
      </c>
      <c r="D156" s="31">
        <v>36624</v>
      </c>
      <c r="E156" s="31">
        <f t="shared" ref="E156" si="77">C156*D156</f>
        <v>439488</v>
      </c>
      <c r="F156" s="31">
        <f t="shared" si="67"/>
        <v>3835</v>
      </c>
      <c r="G156" s="31">
        <f t="shared" ref="G156" si="78">ROUND((C156*F156),0)</f>
        <v>46020</v>
      </c>
      <c r="H156" s="31">
        <v>9188.07</v>
      </c>
      <c r="I156" s="41">
        <v>1.73</v>
      </c>
      <c r="J156" s="31">
        <f t="shared" si="74"/>
        <v>15895.3611</v>
      </c>
      <c r="K156" s="31">
        <f t="shared" si="75"/>
        <v>190744.33319999999</v>
      </c>
      <c r="L156" s="31">
        <f t="shared" si="71"/>
        <v>56354.361100000002</v>
      </c>
      <c r="M156" s="31">
        <f t="shared" si="71"/>
        <v>676252.33319999999</v>
      </c>
      <c r="N156" s="31"/>
      <c r="O156" s="192">
        <f t="shared" si="76"/>
        <v>676252.33319999999</v>
      </c>
    </row>
    <row r="157" spans="1:75" s="11" customFormat="1" x14ac:dyDescent="0.2">
      <c r="A157" s="4">
        <v>11</v>
      </c>
      <c r="B157" s="5" t="s">
        <v>159</v>
      </c>
      <c r="C157" s="4">
        <f>SUM(C158:C174)</f>
        <v>142</v>
      </c>
      <c r="D157" s="32"/>
      <c r="E157" s="32">
        <f>SUM(E158:E174)</f>
        <v>4782885</v>
      </c>
      <c r="F157" s="31"/>
      <c r="G157" s="32">
        <f>SUM(G158:G174)</f>
        <v>500813</v>
      </c>
      <c r="H157" s="32"/>
      <c r="I157" s="32"/>
      <c r="J157" s="31"/>
      <c r="K157" s="32">
        <f>SUM(K158:K174)</f>
        <v>2257141.2762000002</v>
      </c>
      <c r="L157" s="32"/>
      <c r="M157" s="32">
        <f>SUM(M158:M174)</f>
        <v>7540839.2762000002</v>
      </c>
      <c r="N157" s="32"/>
      <c r="O157" s="190">
        <f>M157+N157</f>
        <v>7540839.2762000002</v>
      </c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</row>
    <row r="158" spans="1:75" ht="25.5" x14ac:dyDescent="0.2">
      <c r="A158" s="6" t="s">
        <v>124</v>
      </c>
      <c r="B158" s="15" t="s">
        <v>254</v>
      </c>
      <c r="C158" s="6"/>
      <c r="D158" s="31"/>
      <c r="E158" s="31"/>
      <c r="F158" s="31"/>
      <c r="G158" s="31"/>
      <c r="H158" s="31"/>
      <c r="I158" s="41"/>
      <c r="J158" s="31"/>
      <c r="K158" s="31"/>
      <c r="L158" s="31"/>
      <c r="M158" s="31"/>
      <c r="N158" s="31"/>
      <c r="O158" s="192"/>
    </row>
    <row r="159" spans="1:75" x14ac:dyDescent="0.2">
      <c r="A159" s="6"/>
      <c r="B159" s="103" t="s">
        <v>280</v>
      </c>
      <c r="C159" s="6"/>
      <c r="D159" s="31"/>
      <c r="E159" s="31"/>
      <c r="F159" s="31"/>
      <c r="G159" s="31"/>
      <c r="H159" s="31"/>
      <c r="I159" s="41"/>
      <c r="J159" s="31"/>
      <c r="K159" s="31"/>
      <c r="L159" s="31"/>
      <c r="M159" s="31"/>
      <c r="N159" s="31"/>
      <c r="O159" s="192"/>
    </row>
    <row r="160" spans="1:75" x14ac:dyDescent="0.2">
      <c r="A160" s="6"/>
      <c r="B160" s="7" t="s">
        <v>309</v>
      </c>
      <c r="C160" s="6">
        <v>123</v>
      </c>
      <c r="D160" s="31">
        <v>31306</v>
      </c>
      <c r="E160" s="31">
        <f t="shared" ref="E160:E161" si="79">C160*D160</f>
        <v>3850638</v>
      </c>
      <c r="F160" s="31">
        <f t="shared" ref="F160:F174" si="80">ROUND((D160*10.47143%),0)</f>
        <v>3278</v>
      </c>
      <c r="G160" s="31">
        <f t="shared" ref="G160:G174" si="81">ROUND((C160*F160),0)</f>
        <v>403194</v>
      </c>
      <c r="H160" s="31">
        <v>9188.07</v>
      </c>
      <c r="I160" s="41">
        <v>1.73</v>
      </c>
      <c r="J160" s="31">
        <f t="shared" ref="J160:J174" si="82">H160*I160</f>
        <v>15895.3611</v>
      </c>
      <c r="K160" s="31">
        <f>C160*J160</f>
        <v>1955129.4153</v>
      </c>
      <c r="L160" s="31">
        <f t="shared" ref="L160:M174" si="83">D160+F160+J160</f>
        <v>50479.361100000002</v>
      </c>
      <c r="M160" s="31">
        <f t="shared" si="83"/>
        <v>6208961.4153000005</v>
      </c>
      <c r="N160" s="31"/>
      <c r="O160" s="192">
        <f t="shared" ref="O160:O174" si="84">M160+N160</f>
        <v>6208961.4153000005</v>
      </c>
    </row>
    <row r="161" spans="1:75" ht="25.5" x14ac:dyDescent="0.2">
      <c r="A161" s="6"/>
      <c r="B161" s="7" t="s">
        <v>281</v>
      </c>
      <c r="C161" s="6">
        <v>1</v>
      </c>
      <c r="D161" s="31">
        <v>173835</v>
      </c>
      <c r="E161" s="31">
        <f t="shared" si="79"/>
        <v>173835</v>
      </c>
      <c r="F161" s="31">
        <f t="shared" si="80"/>
        <v>18203</v>
      </c>
      <c r="G161" s="31">
        <f t="shared" si="81"/>
        <v>18203</v>
      </c>
      <c r="H161" s="31">
        <v>9188.07</v>
      </c>
      <c r="I161" s="41">
        <v>1.73</v>
      </c>
      <c r="J161" s="31">
        <f t="shared" si="82"/>
        <v>15895.3611</v>
      </c>
      <c r="K161" s="31">
        <f t="shared" ref="K161:K173" si="85">C161*J161</f>
        <v>15895.3611</v>
      </c>
      <c r="L161" s="31">
        <f t="shared" si="83"/>
        <v>207933.36110000001</v>
      </c>
      <c r="M161" s="31">
        <f t="shared" si="83"/>
        <v>207933.36110000001</v>
      </c>
      <c r="N161" s="31"/>
      <c r="O161" s="192">
        <f t="shared" si="84"/>
        <v>207933.36110000001</v>
      </c>
    </row>
    <row r="162" spans="1:75" hidden="1" x14ac:dyDescent="0.2">
      <c r="A162" s="6"/>
      <c r="B162" s="103" t="s">
        <v>156</v>
      </c>
      <c r="C162" s="6"/>
      <c r="D162" s="31"/>
      <c r="E162" s="31"/>
      <c r="F162" s="31">
        <f t="shared" si="80"/>
        <v>0</v>
      </c>
      <c r="G162" s="31">
        <f t="shared" si="81"/>
        <v>0</v>
      </c>
      <c r="H162" s="31">
        <v>9188.07</v>
      </c>
      <c r="I162" s="41">
        <v>1.73</v>
      </c>
      <c r="J162" s="31">
        <f t="shared" si="82"/>
        <v>15895.3611</v>
      </c>
      <c r="K162" s="31">
        <f t="shared" si="85"/>
        <v>0</v>
      </c>
      <c r="L162" s="31">
        <f t="shared" si="83"/>
        <v>15895.3611</v>
      </c>
      <c r="M162" s="31">
        <f t="shared" si="83"/>
        <v>0</v>
      </c>
      <c r="N162" s="31"/>
      <c r="O162" s="192">
        <f t="shared" si="84"/>
        <v>0</v>
      </c>
    </row>
    <row r="163" spans="1:75" hidden="1" x14ac:dyDescent="0.2">
      <c r="A163" s="6"/>
      <c r="B163" s="7" t="s">
        <v>157</v>
      </c>
      <c r="C163" s="6"/>
      <c r="D163" s="31"/>
      <c r="E163" s="31"/>
      <c r="F163" s="31">
        <f t="shared" si="80"/>
        <v>0</v>
      </c>
      <c r="G163" s="31">
        <f t="shared" si="81"/>
        <v>0</v>
      </c>
      <c r="H163" s="31">
        <v>9188.07</v>
      </c>
      <c r="I163" s="41">
        <v>1.73</v>
      </c>
      <c r="J163" s="31">
        <f t="shared" si="82"/>
        <v>15895.3611</v>
      </c>
      <c r="K163" s="31">
        <f t="shared" si="85"/>
        <v>0</v>
      </c>
      <c r="L163" s="31">
        <f t="shared" si="83"/>
        <v>15895.3611</v>
      </c>
      <c r="M163" s="31">
        <f t="shared" si="83"/>
        <v>0</v>
      </c>
      <c r="N163" s="31"/>
      <c r="O163" s="192">
        <f t="shared" si="84"/>
        <v>0</v>
      </c>
    </row>
    <row r="164" spans="1:75" ht="54" hidden="1" customHeight="1" x14ac:dyDescent="0.2">
      <c r="A164" s="6" t="s">
        <v>125</v>
      </c>
      <c r="B164" s="15" t="s">
        <v>161</v>
      </c>
      <c r="C164" s="6"/>
      <c r="D164" s="31"/>
      <c r="E164" s="31"/>
      <c r="F164" s="31">
        <f t="shared" si="80"/>
        <v>0</v>
      </c>
      <c r="G164" s="31">
        <f t="shared" si="81"/>
        <v>0</v>
      </c>
      <c r="H164" s="31">
        <v>9188.07</v>
      </c>
      <c r="I164" s="41">
        <v>1.73</v>
      </c>
      <c r="J164" s="31">
        <f t="shared" si="82"/>
        <v>15895.3611</v>
      </c>
      <c r="K164" s="31">
        <f t="shared" si="85"/>
        <v>0</v>
      </c>
      <c r="L164" s="31">
        <f t="shared" si="83"/>
        <v>15895.3611</v>
      </c>
      <c r="M164" s="31">
        <f t="shared" si="83"/>
        <v>0</v>
      </c>
      <c r="N164" s="31"/>
      <c r="O164" s="192">
        <f t="shared" si="84"/>
        <v>0</v>
      </c>
    </row>
    <row r="165" spans="1:75" hidden="1" x14ac:dyDescent="0.2">
      <c r="A165" s="6"/>
      <c r="B165" s="103" t="s">
        <v>91</v>
      </c>
      <c r="C165" s="6"/>
      <c r="D165" s="31"/>
      <c r="E165" s="31"/>
      <c r="F165" s="31">
        <f t="shared" si="80"/>
        <v>0</v>
      </c>
      <c r="G165" s="31">
        <f t="shared" si="81"/>
        <v>0</v>
      </c>
      <c r="H165" s="31">
        <v>9188.07</v>
      </c>
      <c r="I165" s="41">
        <v>1.73</v>
      </c>
      <c r="J165" s="31">
        <f t="shared" si="82"/>
        <v>15895.3611</v>
      </c>
      <c r="K165" s="31">
        <f t="shared" si="85"/>
        <v>0</v>
      </c>
      <c r="L165" s="31">
        <f t="shared" si="83"/>
        <v>15895.3611</v>
      </c>
      <c r="M165" s="31">
        <f t="shared" si="83"/>
        <v>0</v>
      </c>
      <c r="N165" s="31"/>
      <c r="O165" s="192">
        <f t="shared" si="84"/>
        <v>0</v>
      </c>
    </row>
    <row r="166" spans="1:75" hidden="1" x14ac:dyDescent="0.2">
      <c r="A166" s="6"/>
      <c r="B166" s="7" t="s">
        <v>92</v>
      </c>
      <c r="C166" s="6"/>
      <c r="D166" s="31"/>
      <c r="E166" s="31"/>
      <c r="F166" s="31">
        <f t="shared" si="80"/>
        <v>0</v>
      </c>
      <c r="G166" s="31">
        <f t="shared" si="81"/>
        <v>0</v>
      </c>
      <c r="H166" s="31">
        <v>9188.07</v>
      </c>
      <c r="I166" s="41">
        <v>1.73</v>
      </c>
      <c r="J166" s="31">
        <f t="shared" si="82"/>
        <v>15895.3611</v>
      </c>
      <c r="K166" s="31">
        <f t="shared" si="85"/>
        <v>0</v>
      </c>
      <c r="L166" s="31">
        <f t="shared" si="83"/>
        <v>15895.3611</v>
      </c>
      <c r="M166" s="31">
        <f t="shared" si="83"/>
        <v>0</v>
      </c>
      <c r="N166" s="31"/>
      <c r="O166" s="192">
        <f t="shared" si="84"/>
        <v>0</v>
      </c>
    </row>
    <row r="167" spans="1:75" hidden="1" x14ac:dyDescent="0.2">
      <c r="A167" s="6"/>
      <c r="B167" s="103" t="s">
        <v>156</v>
      </c>
      <c r="C167" s="6"/>
      <c r="D167" s="31"/>
      <c r="E167" s="31"/>
      <c r="F167" s="31">
        <f t="shared" si="80"/>
        <v>0</v>
      </c>
      <c r="G167" s="31">
        <f t="shared" si="81"/>
        <v>0</v>
      </c>
      <c r="H167" s="31">
        <v>9188.07</v>
      </c>
      <c r="I167" s="41">
        <v>1.73</v>
      </c>
      <c r="J167" s="31">
        <f t="shared" si="82"/>
        <v>15895.3611</v>
      </c>
      <c r="K167" s="31">
        <f t="shared" si="85"/>
        <v>0</v>
      </c>
      <c r="L167" s="31">
        <f t="shared" si="83"/>
        <v>15895.3611</v>
      </c>
      <c r="M167" s="31">
        <f t="shared" si="83"/>
        <v>0</v>
      </c>
      <c r="N167" s="31"/>
      <c r="O167" s="192">
        <f t="shared" si="84"/>
        <v>0</v>
      </c>
    </row>
    <row r="168" spans="1:75" hidden="1" x14ac:dyDescent="0.2">
      <c r="A168" s="6"/>
      <c r="B168" s="7" t="s">
        <v>157</v>
      </c>
      <c r="C168" s="6"/>
      <c r="D168" s="31"/>
      <c r="E168" s="31"/>
      <c r="F168" s="31">
        <f t="shared" si="80"/>
        <v>0</v>
      </c>
      <c r="G168" s="31">
        <f t="shared" si="81"/>
        <v>0</v>
      </c>
      <c r="H168" s="31">
        <v>9188.07</v>
      </c>
      <c r="I168" s="41">
        <v>1.73</v>
      </c>
      <c r="J168" s="31">
        <f t="shared" si="82"/>
        <v>15895.3611</v>
      </c>
      <c r="K168" s="31">
        <f t="shared" si="85"/>
        <v>0</v>
      </c>
      <c r="L168" s="31">
        <f t="shared" si="83"/>
        <v>15895.3611</v>
      </c>
      <c r="M168" s="31">
        <f t="shared" si="83"/>
        <v>0</v>
      </c>
      <c r="N168" s="31"/>
      <c r="O168" s="192">
        <f t="shared" si="84"/>
        <v>0</v>
      </c>
    </row>
    <row r="169" spans="1:75" ht="51" hidden="1" x14ac:dyDescent="0.2">
      <c r="A169" s="6" t="s">
        <v>126</v>
      </c>
      <c r="B169" s="15" t="s">
        <v>163</v>
      </c>
      <c r="C169" s="6"/>
      <c r="D169" s="31"/>
      <c r="E169" s="31"/>
      <c r="F169" s="31">
        <f t="shared" si="80"/>
        <v>0</v>
      </c>
      <c r="G169" s="31">
        <f t="shared" si="81"/>
        <v>0</v>
      </c>
      <c r="H169" s="31">
        <v>9188.07</v>
      </c>
      <c r="I169" s="41">
        <v>1.73</v>
      </c>
      <c r="J169" s="31">
        <f t="shared" si="82"/>
        <v>15895.3611</v>
      </c>
      <c r="K169" s="31">
        <f t="shared" si="85"/>
        <v>0</v>
      </c>
      <c r="L169" s="31">
        <f t="shared" si="83"/>
        <v>15895.3611</v>
      </c>
      <c r="M169" s="31">
        <f t="shared" si="83"/>
        <v>0</v>
      </c>
      <c r="N169" s="31"/>
      <c r="O169" s="192">
        <f t="shared" si="84"/>
        <v>0</v>
      </c>
    </row>
    <row r="170" spans="1:75" hidden="1" x14ac:dyDescent="0.2">
      <c r="A170" s="6"/>
      <c r="B170" s="103" t="s">
        <v>91</v>
      </c>
      <c r="C170" s="6"/>
      <c r="D170" s="31"/>
      <c r="E170" s="31"/>
      <c r="F170" s="31">
        <f t="shared" si="80"/>
        <v>0</v>
      </c>
      <c r="G170" s="31">
        <f t="shared" si="81"/>
        <v>0</v>
      </c>
      <c r="H170" s="31">
        <v>9188.07</v>
      </c>
      <c r="I170" s="41">
        <v>1.73</v>
      </c>
      <c r="J170" s="31">
        <f t="shared" si="82"/>
        <v>15895.3611</v>
      </c>
      <c r="K170" s="31">
        <f t="shared" si="85"/>
        <v>0</v>
      </c>
      <c r="L170" s="31">
        <f t="shared" si="83"/>
        <v>15895.3611</v>
      </c>
      <c r="M170" s="31">
        <f t="shared" si="83"/>
        <v>0</v>
      </c>
      <c r="N170" s="31"/>
      <c r="O170" s="192">
        <f t="shared" si="84"/>
        <v>0</v>
      </c>
    </row>
    <row r="171" spans="1:75" hidden="1" x14ac:dyDescent="0.2">
      <c r="A171" s="6"/>
      <c r="B171" s="7" t="s">
        <v>92</v>
      </c>
      <c r="C171" s="6"/>
      <c r="D171" s="31"/>
      <c r="E171" s="31"/>
      <c r="F171" s="31">
        <f t="shared" si="80"/>
        <v>0</v>
      </c>
      <c r="G171" s="31">
        <f t="shared" si="81"/>
        <v>0</v>
      </c>
      <c r="H171" s="31">
        <v>9188.07</v>
      </c>
      <c r="I171" s="41">
        <v>1.73</v>
      </c>
      <c r="J171" s="31">
        <f t="shared" si="82"/>
        <v>15895.3611</v>
      </c>
      <c r="K171" s="31">
        <f t="shared" si="85"/>
        <v>0</v>
      </c>
      <c r="L171" s="31">
        <f t="shared" si="83"/>
        <v>15895.3611</v>
      </c>
      <c r="M171" s="31">
        <f t="shared" si="83"/>
        <v>0</v>
      </c>
      <c r="N171" s="31"/>
      <c r="O171" s="192">
        <f t="shared" si="84"/>
        <v>0</v>
      </c>
    </row>
    <row r="172" spans="1:75" hidden="1" x14ac:dyDescent="0.2">
      <c r="A172" s="6"/>
      <c r="B172" s="103" t="s">
        <v>156</v>
      </c>
      <c r="C172" s="6"/>
      <c r="D172" s="31"/>
      <c r="E172" s="31"/>
      <c r="F172" s="31">
        <f t="shared" si="80"/>
        <v>0</v>
      </c>
      <c r="G172" s="31">
        <f t="shared" si="81"/>
        <v>0</v>
      </c>
      <c r="H172" s="31">
        <v>9188.07</v>
      </c>
      <c r="I172" s="41">
        <v>1.73</v>
      </c>
      <c r="J172" s="31">
        <f t="shared" si="82"/>
        <v>15895.3611</v>
      </c>
      <c r="K172" s="31">
        <f t="shared" si="85"/>
        <v>0</v>
      </c>
      <c r="L172" s="31">
        <f t="shared" si="83"/>
        <v>15895.3611</v>
      </c>
      <c r="M172" s="31">
        <f t="shared" si="83"/>
        <v>0</v>
      </c>
      <c r="N172" s="31"/>
      <c r="O172" s="192">
        <f t="shared" si="84"/>
        <v>0</v>
      </c>
    </row>
    <row r="173" spans="1:75" hidden="1" x14ac:dyDescent="0.2">
      <c r="A173" s="6"/>
      <c r="B173" s="7" t="s">
        <v>157</v>
      </c>
      <c r="C173" s="6"/>
      <c r="D173" s="31"/>
      <c r="E173" s="31"/>
      <c r="F173" s="31">
        <f t="shared" si="80"/>
        <v>0</v>
      </c>
      <c r="G173" s="31">
        <f t="shared" si="81"/>
        <v>0</v>
      </c>
      <c r="H173" s="31">
        <v>9188.07</v>
      </c>
      <c r="I173" s="41">
        <v>1.73</v>
      </c>
      <c r="J173" s="31">
        <f t="shared" si="82"/>
        <v>15895.3611</v>
      </c>
      <c r="K173" s="31">
        <f t="shared" si="85"/>
        <v>0</v>
      </c>
      <c r="L173" s="31">
        <f t="shared" si="83"/>
        <v>15895.3611</v>
      </c>
      <c r="M173" s="31">
        <f t="shared" si="83"/>
        <v>0</v>
      </c>
      <c r="N173" s="31"/>
      <c r="O173" s="192">
        <f t="shared" si="84"/>
        <v>0</v>
      </c>
    </row>
    <row r="174" spans="1:75" ht="38.25" x14ac:dyDescent="0.2">
      <c r="A174" s="6" t="s">
        <v>127</v>
      </c>
      <c r="B174" s="103" t="s">
        <v>162</v>
      </c>
      <c r="C174" s="6">
        <v>18</v>
      </c>
      <c r="D174" s="31">
        <v>42134</v>
      </c>
      <c r="E174" s="31">
        <f>C174*D174</f>
        <v>758412</v>
      </c>
      <c r="F174" s="31">
        <f t="shared" si="80"/>
        <v>4412</v>
      </c>
      <c r="G174" s="31">
        <f t="shared" si="81"/>
        <v>79416</v>
      </c>
      <c r="H174" s="31">
        <v>9188.07</v>
      </c>
      <c r="I174" s="41">
        <v>1.73</v>
      </c>
      <c r="J174" s="31">
        <f t="shared" si="82"/>
        <v>15895.3611</v>
      </c>
      <c r="K174" s="31">
        <f>C174*J174</f>
        <v>286116.49979999999</v>
      </c>
      <c r="L174" s="31">
        <f t="shared" si="83"/>
        <v>62441.361100000002</v>
      </c>
      <c r="M174" s="31">
        <f t="shared" si="83"/>
        <v>1123944.4997999999</v>
      </c>
      <c r="N174" s="31"/>
      <c r="O174" s="192">
        <f t="shared" si="84"/>
        <v>1123944.4997999999</v>
      </c>
    </row>
    <row r="175" spans="1:75" s="11" customFormat="1" hidden="1" x14ac:dyDescent="0.2">
      <c r="A175" s="4">
        <v>12</v>
      </c>
      <c r="B175" s="5" t="s">
        <v>165</v>
      </c>
      <c r="C175" s="4"/>
      <c r="D175" s="32"/>
      <c r="E175" s="32"/>
      <c r="F175" s="32"/>
      <c r="G175" s="32"/>
      <c r="H175" s="32"/>
      <c r="I175" s="47"/>
      <c r="J175" s="32"/>
      <c r="K175" s="32"/>
      <c r="L175" s="32"/>
      <c r="M175" s="32"/>
      <c r="N175" s="32"/>
      <c r="O175" s="190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/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01"/>
    </row>
    <row r="176" spans="1:75" ht="25.5" hidden="1" x14ac:dyDescent="0.2">
      <c r="A176" s="6" t="s">
        <v>128</v>
      </c>
      <c r="B176" s="14" t="s">
        <v>166</v>
      </c>
      <c r="C176" s="6"/>
      <c r="D176" s="31"/>
      <c r="E176" s="31"/>
      <c r="F176" s="31"/>
      <c r="G176" s="31"/>
      <c r="H176" s="31"/>
      <c r="I176" s="41"/>
      <c r="J176" s="31"/>
      <c r="K176" s="31"/>
      <c r="L176" s="31"/>
      <c r="M176" s="31"/>
      <c r="N176" s="31"/>
      <c r="O176" s="192"/>
    </row>
    <row r="177" spans="1:75" hidden="1" x14ac:dyDescent="0.2">
      <c r="A177" s="6"/>
      <c r="B177" s="103" t="s">
        <v>156</v>
      </c>
      <c r="C177" s="6"/>
      <c r="D177" s="31"/>
      <c r="E177" s="31"/>
      <c r="F177" s="31"/>
      <c r="G177" s="31"/>
      <c r="H177" s="31"/>
      <c r="I177" s="41"/>
      <c r="J177" s="31"/>
      <c r="K177" s="31"/>
      <c r="L177" s="31"/>
      <c r="M177" s="31"/>
      <c r="N177" s="31"/>
      <c r="O177" s="192"/>
    </row>
    <row r="178" spans="1:75" hidden="1" x14ac:dyDescent="0.2">
      <c r="A178" s="6"/>
      <c r="B178" s="7" t="s">
        <v>157</v>
      </c>
      <c r="C178" s="6"/>
      <c r="D178" s="31"/>
      <c r="E178" s="31"/>
      <c r="F178" s="31"/>
      <c r="G178" s="31"/>
      <c r="H178" s="31"/>
      <c r="I178" s="41"/>
      <c r="J178" s="31"/>
      <c r="K178" s="31"/>
      <c r="L178" s="31"/>
      <c r="M178" s="31"/>
      <c r="N178" s="31"/>
      <c r="O178" s="192"/>
    </row>
    <row r="179" spans="1:75" ht="54" hidden="1" customHeight="1" x14ac:dyDescent="0.2">
      <c r="A179" s="6" t="s">
        <v>129</v>
      </c>
      <c r="B179" s="15" t="s">
        <v>167</v>
      </c>
      <c r="C179" s="6"/>
      <c r="D179" s="31"/>
      <c r="E179" s="31"/>
      <c r="F179" s="31"/>
      <c r="G179" s="31"/>
      <c r="H179" s="31"/>
      <c r="I179" s="41"/>
      <c r="J179" s="31"/>
      <c r="K179" s="31"/>
      <c r="L179" s="31"/>
      <c r="M179" s="31"/>
      <c r="N179" s="31"/>
      <c r="O179" s="192"/>
    </row>
    <row r="180" spans="1:75" hidden="1" x14ac:dyDescent="0.2">
      <c r="A180" s="6"/>
      <c r="B180" s="103" t="s">
        <v>156</v>
      </c>
      <c r="C180" s="6"/>
      <c r="D180" s="31"/>
      <c r="E180" s="31"/>
      <c r="F180" s="31"/>
      <c r="G180" s="31"/>
      <c r="H180" s="31"/>
      <c r="I180" s="41"/>
      <c r="J180" s="31"/>
      <c r="K180" s="31"/>
      <c r="L180" s="31"/>
      <c r="M180" s="31"/>
      <c r="N180" s="31"/>
      <c r="O180" s="192"/>
    </row>
    <row r="181" spans="1:75" hidden="1" x14ac:dyDescent="0.2">
      <c r="A181" s="6"/>
      <c r="B181" s="7" t="s">
        <v>157</v>
      </c>
      <c r="C181" s="6"/>
      <c r="D181" s="31"/>
      <c r="E181" s="31"/>
      <c r="F181" s="31"/>
      <c r="G181" s="31"/>
      <c r="H181" s="31"/>
      <c r="I181" s="41"/>
      <c r="J181" s="31"/>
      <c r="K181" s="31"/>
      <c r="L181" s="31"/>
      <c r="M181" s="31"/>
      <c r="N181" s="31"/>
      <c r="O181" s="192"/>
    </row>
    <row r="182" spans="1:75" ht="51" hidden="1" x14ac:dyDescent="0.2">
      <c r="A182" s="6" t="s">
        <v>130</v>
      </c>
      <c r="B182" s="15" t="s">
        <v>153</v>
      </c>
      <c r="C182" s="6"/>
      <c r="D182" s="31"/>
      <c r="E182" s="31"/>
      <c r="F182" s="31"/>
      <c r="G182" s="31"/>
      <c r="H182" s="31"/>
      <c r="I182" s="41"/>
      <c r="J182" s="31"/>
      <c r="K182" s="31"/>
      <c r="L182" s="31"/>
      <c r="M182" s="31"/>
      <c r="N182" s="31"/>
      <c r="O182" s="192"/>
    </row>
    <row r="183" spans="1:75" hidden="1" x14ac:dyDescent="0.2">
      <c r="A183" s="6"/>
      <c r="B183" s="103" t="s">
        <v>156</v>
      </c>
      <c r="C183" s="6"/>
      <c r="D183" s="31"/>
      <c r="E183" s="31"/>
      <c r="F183" s="31"/>
      <c r="G183" s="31"/>
      <c r="H183" s="31"/>
      <c r="I183" s="41"/>
      <c r="J183" s="31"/>
      <c r="K183" s="31"/>
      <c r="L183" s="31"/>
      <c r="M183" s="31"/>
      <c r="N183" s="31"/>
      <c r="O183" s="192"/>
    </row>
    <row r="184" spans="1:75" hidden="1" x14ac:dyDescent="0.2">
      <c r="A184" s="6"/>
      <c r="B184" s="7" t="s">
        <v>157</v>
      </c>
      <c r="C184" s="6"/>
      <c r="D184" s="31"/>
      <c r="E184" s="31"/>
      <c r="F184" s="31"/>
      <c r="G184" s="31"/>
      <c r="H184" s="31"/>
      <c r="I184" s="41"/>
      <c r="J184" s="31"/>
      <c r="K184" s="31"/>
      <c r="L184" s="31"/>
      <c r="M184" s="31"/>
      <c r="N184" s="31"/>
      <c r="O184" s="192"/>
    </row>
    <row r="185" spans="1:75" ht="38.25" hidden="1" x14ac:dyDescent="0.2">
      <c r="A185" s="6" t="s">
        <v>131</v>
      </c>
      <c r="B185" s="103" t="s">
        <v>168</v>
      </c>
      <c r="C185" s="6"/>
      <c r="D185" s="31"/>
      <c r="E185" s="31"/>
      <c r="F185" s="31"/>
      <c r="G185" s="31"/>
      <c r="H185" s="31"/>
      <c r="I185" s="41"/>
      <c r="J185" s="31"/>
      <c r="K185" s="31"/>
      <c r="L185" s="31"/>
      <c r="M185" s="31"/>
      <c r="N185" s="31"/>
      <c r="O185" s="192"/>
    </row>
    <row r="186" spans="1:75" s="19" customFormat="1" x14ac:dyDescent="0.2">
      <c r="B186" s="18" t="s">
        <v>183</v>
      </c>
      <c r="C186" s="88">
        <f>C143+C157</f>
        <v>274</v>
      </c>
      <c r="D186" s="48"/>
      <c r="E186" s="48">
        <f>E143+E157</f>
        <v>8317893</v>
      </c>
      <c r="F186" s="48"/>
      <c r="G186" s="48">
        <f t="shared" ref="G186" si="86">G143+G157</f>
        <v>870953</v>
      </c>
      <c r="H186" s="48"/>
      <c r="I186" s="143"/>
      <c r="J186" s="48"/>
      <c r="K186" s="48">
        <f>K143+K157</f>
        <v>4355374.0014000004</v>
      </c>
      <c r="L186" s="48"/>
      <c r="M186" s="48">
        <f>M143+M157</f>
        <v>13544220.001400001</v>
      </c>
      <c r="N186" s="48">
        <v>99000</v>
      </c>
      <c r="O186" s="146">
        <f>M186+N186</f>
        <v>13643220.001400001</v>
      </c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</row>
    <row r="187" spans="1:75" s="11" customFormat="1" x14ac:dyDescent="0.2">
      <c r="A187" s="4">
        <v>13</v>
      </c>
      <c r="B187" s="83" t="s">
        <v>184</v>
      </c>
      <c r="C187" s="4">
        <f>SUM(C188:C193)</f>
        <v>504</v>
      </c>
      <c r="D187" s="32"/>
      <c r="E187" s="32">
        <f>SUM(E188:E193)</f>
        <v>13434352</v>
      </c>
      <c r="F187" s="32"/>
      <c r="G187" s="32">
        <f>SUM(G188:G193)</f>
        <v>1406692</v>
      </c>
      <c r="H187" s="32"/>
      <c r="I187" s="47"/>
      <c r="J187" s="32"/>
      <c r="K187" s="32">
        <f>SUM(K188:K193)</f>
        <v>4719408.7275200002</v>
      </c>
      <c r="L187" s="32"/>
      <c r="M187" s="32">
        <f>SUM(M188:M193)</f>
        <v>19560452.72752</v>
      </c>
      <c r="N187" s="32"/>
      <c r="O187" s="190">
        <f>SUM(O188:O193)</f>
        <v>19560452.72752</v>
      </c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1"/>
      <c r="BL187" s="201"/>
      <c r="BM187" s="201"/>
      <c r="BN187" s="201"/>
      <c r="BO187" s="201"/>
      <c r="BP187" s="201"/>
      <c r="BQ187" s="201"/>
      <c r="BR187" s="201"/>
      <c r="BS187" s="201"/>
      <c r="BT187" s="201"/>
      <c r="BU187" s="201"/>
      <c r="BV187" s="201"/>
      <c r="BW187" s="201"/>
    </row>
    <row r="188" spans="1:75" ht="51" x14ac:dyDescent="0.2">
      <c r="A188" s="6" t="s">
        <v>133</v>
      </c>
      <c r="B188" s="14" t="s">
        <v>226</v>
      </c>
      <c r="C188" s="6"/>
      <c r="D188" s="31"/>
      <c r="E188" s="31"/>
      <c r="F188" s="31"/>
      <c r="G188" s="31"/>
      <c r="H188" s="31"/>
      <c r="I188" s="41"/>
      <c r="J188" s="31"/>
      <c r="K188" s="31"/>
      <c r="L188" s="31"/>
      <c r="M188" s="31"/>
      <c r="N188" s="31"/>
      <c r="O188" s="192"/>
    </row>
    <row r="189" spans="1:75" x14ac:dyDescent="0.2">
      <c r="A189" s="6"/>
      <c r="B189" s="103" t="s">
        <v>280</v>
      </c>
      <c r="C189" s="6">
        <v>345</v>
      </c>
      <c r="D189" s="31">
        <v>25796</v>
      </c>
      <c r="E189" s="31">
        <f>C189*D189</f>
        <v>8899620</v>
      </c>
      <c r="F189" s="31">
        <f t="shared" ref="F189:F191" si="87">ROUND((D189*10.47143%),0)</f>
        <v>2701</v>
      </c>
      <c r="G189" s="31">
        <f>ROUND((C189*F189),0)</f>
        <v>931845</v>
      </c>
      <c r="H189" s="31">
        <v>9188.07</v>
      </c>
      <c r="I189" s="41">
        <v>1.034</v>
      </c>
      <c r="J189" s="31">
        <f t="shared" ref="J189:J191" si="88">H189*I189</f>
        <v>9500.4643799999994</v>
      </c>
      <c r="K189" s="31">
        <f>C189*J189-68825.32</f>
        <v>3208834.8911000001</v>
      </c>
      <c r="L189" s="31">
        <f t="shared" ref="L189:M191" si="89">D189+F189+J189</f>
        <v>37997.464379999998</v>
      </c>
      <c r="M189" s="31">
        <f t="shared" si="89"/>
        <v>13040299.891100001</v>
      </c>
      <c r="N189" s="31"/>
      <c r="O189" s="192">
        <f t="shared" ref="O189:O191" si="90">M189+N189</f>
        <v>13040299.891100001</v>
      </c>
    </row>
    <row r="190" spans="1:75" x14ac:dyDescent="0.2">
      <c r="A190" s="6"/>
      <c r="B190" s="103" t="s">
        <v>309</v>
      </c>
      <c r="C190" s="6">
        <v>157</v>
      </c>
      <c r="D190" s="31">
        <v>27112</v>
      </c>
      <c r="E190" s="31">
        <f>C190*D190+12</f>
        <v>4256596</v>
      </c>
      <c r="F190" s="31">
        <f t="shared" si="87"/>
        <v>2839</v>
      </c>
      <c r="G190" s="31">
        <f t="shared" ref="G190:G191" si="91">ROUND((C190*F190),0)</f>
        <v>445723</v>
      </c>
      <c r="H190" s="31">
        <v>9188.07</v>
      </c>
      <c r="I190" s="41">
        <v>1.034</v>
      </c>
      <c r="J190" s="31">
        <f t="shared" si="88"/>
        <v>9500.4643799999994</v>
      </c>
      <c r="K190" s="31">
        <f t="shared" ref="K190:K191" si="92">C190*J190</f>
        <v>1491572.90766</v>
      </c>
      <c r="L190" s="31">
        <f t="shared" si="89"/>
        <v>39451.464379999998</v>
      </c>
      <c r="M190" s="31">
        <f t="shared" si="89"/>
        <v>6193891.90766</v>
      </c>
      <c r="N190" s="31"/>
      <c r="O190" s="192">
        <f t="shared" si="90"/>
        <v>6193891.90766</v>
      </c>
    </row>
    <row r="191" spans="1:75" ht="16.5" customHeight="1" x14ac:dyDescent="0.2">
      <c r="A191" s="6"/>
      <c r="B191" s="7" t="s">
        <v>303</v>
      </c>
      <c r="C191" s="6">
        <v>2</v>
      </c>
      <c r="D191" s="31">
        <v>139068</v>
      </c>
      <c r="E191" s="31">
        <f t="shared" ref="E191:E192" si="93">C191*D191</f>
        <v>278136</v>
      </c>
      <c r="F191" s="31">
        <f t="shared" si="87"/>
        <v>14562</v>
      </c>
      <c r="G191" s="31">
        <f t="shared" si="91"/>
        <v>29124</v>
      </c>
      <c r="H191" s="31">
        <v>9188.07</v>
      </c>
      <c r="I191" s="41">
        <v>1.034</v>
      </c>
      <c r="J191" s="31">
        <f t="shared" si="88"/>
        <v>9500.4643799999994</v>
      </c>
      <c r="K191" s="31">
        <f t="shared" si="92"/>
        <v>19000.928759999999</v>
      </c>
      <c r="L191" s="31">
        <f t="shared" si="89"/>
        <v>163130.46437999999</v>
      </c>
      <c r="M191" s="31">
        <f t="shared" si="89"/>
        <v>326260.92875999998</v>
      </c>
      <c r="N191" s="31"/>
      <c r="O191" s="192">
        <f t="shared" si="90"/>
        <v>326260.92875999998</v>
      </c>
    </row>
    <row r="192" spans="1:75" ht="25.5" hidden="1" x14ac:dyDescent="0.2">
      <c r="A192" s="6" t="s">
        <v>134</v>
      </c>
      <c r="B192" s="15" t="s">
        <v>306</v>
      </c>
      <c r="C192" s="6"/>
      <c r="D192" s="31"/>
      <c r="E192" s="31">
        <f t="shared" si="93"/>
        <v>0</v>
      </c>
      <c r="F192" s="31"/>
      <c r="G192" s="31"/>
      <c r="H192" s="31"/>
      <c r="I192" s="41">
        <v>1.028</v>
      </c>
      <c r="J192" s="31"/>
      <c r="K192" s="31"/>
      <c r="L192" s="31"/>
      <c r="M192" s="31"/>
      <c r="N192" s="31"/>
      <c r="O192" s="192"/>
    </row>
    <row r="193" spans="1:75" hidden="1" x14ac:dyDescent="0.2">
      <c r="A193" s="6"/>
      <c r="B193" s="103" t="s">
        <v>280</v>
      </c>
      <c r="C193" s="6"/>
      <c r="D193" s="31"/>
      <c r="E193" s="31"/>
      <c r="F193" s="31"/>
      <c r="G193" s="31"/>
      <c r="H193" s="31"/>
      <c r="I193" s="41">
        <v>1.028</v>
      </c>
      <c r="J193" s="31"/>
      <c r="K193" s="31"/>
      <c r="L193" s="31"/>
      <c r="M193" s="31"/>
      <c r="N193" s="31"/>
      <c r="O193" s="192"/>
    </row>
    <row r="194" spans="1:75" hidden="1" x14ac:dyDescent="0.2">
      <c r="A194" s="6"/>
      <c r="B194" s="7" t="s">
        <v>92</v>
      </c>
      <c r="C194" s="6"/>
      <c r="D194" s="31"/>
      <c r="E194" s="31"/>
      <c r="F194" s="31"/>
      <c r="G194" s="31"/>
      <c r="H194" s="31"/>
      <c r="I194" s="41">
        <v>1.028</v>
      </c>
      <c r="J194" s="31"/>
      <c r="K194" s="31"/>
      <c r="L194" s="31"/>
      <c r="M194" s="31"/>
      <c r="N194" s="31"/>
      <c r="O194" s="192"/>
    </row>
    <row r="195" spans="1:75" hidden="1" x14ac:dyDescent="0.2">
      <c r="A195" s="6"/>
      <c r="B195" s="103" t="s">
        <v>156</v>
      </c>
      <c r="C195" s="6"/>
      <c r="D195" s="31"/>
      <c r="E195" s="31"/>
      <c r="F195" s="31"/>
      <c r="G195" s="31"/>
      <c r="H195" s="31"/>
      <c r="I195" s="41">
        <v>1.028</v>
      </c>
      <c r="J195" s="31"/>
      <c r="K195" s="31"/>
      <c r="L195" s="31"/>
      <c r="M195" s="31"/>
      <c r="N195" s="31"/>
      <c r="O195" s="192"/>
    </row>
    <row r="196" spans="1:75" hidden="1" x14ac:dyDescent="0.2">
      <c r="A196" s="6"/>
      <c r="B196" s="7" t="s">
        <v>157</v>
      </c>
      <c r="C196" s="6"/>
      <c r="D196" s="31"/>
      <c r="E196" s="31"/>
      <c r="F196" s="31"/>
      <c r="G196" s="31"/>
      <c r="H196" s="31"/>
      <c r="I196" s="41">
        <v>1.028</v>
      </c>
      <c r="J196" s="31"/>
      <c r="K196" s="31"/>
      <c r="L196" s="31"/>
      <c r="M196" s="31"/>
      <c r="N196" s="31"/>
      <c r="O196" s="192"/>
    </row>
    <row r="197" spans="1:75" ht="51" hidden="1" x14ac:dyDescent="0.2">
      <c r="A197" s="6" t="s">
        <v>135</v>
      </c>
      <c r="B197" s="14" t="s">
        <v>155</v>
      </c>
      <c r="C197" s="6"/>
      <c r="D197" s="31"/>
      <c r="E197" s="31"/>
      <c r="F197" s="31"/>
      <c r="G197" s="31"/>
      <c r="H197" s="31"/>
      <c r="I197" s="41">
        <v>1.028</v>
      </c>
      <c r="J197" s="31"/>
      <c r="K197" s="31"/>
      <c r="L197" s="31"/>
      <c r="M197" s="31"/>
      <c r="N197" s="31"/>
      <c r="O197" s="192"/>
    </row>
    <row r="198" spans="1:75" hidden="1" x14ac:dyDescent="0.2">
      <c r="A198" s="6"/>
      <c r="B198" s="10" t="s">
        <v>91</v>
      </c>
      <c r="C198" s="6"/>
      <c r="D198" s="31"/>
      <c r="E198" s="31"/>
      <c r="F198" s="31"/>
      <c r="G198" s="31"/>
      <c r="H198" s="31"/>
      <c r="I198" s="41">
        <v>1.028</v>
      </c>
      <c r="J198" s="31"/>
      <c r="K198" s="31"/>
      <c r="L198" s="31"/>
      <c r="M198" s="31"/>
      <c r="N198" s="31"/>
      <c r="O198" s="192"/>
    </row>
    <row r="199" spans="1:75" hidden="1" x14ac:dyDescent="0.2">
      <c r="A199" s="6"/>
      <c r="B199" s="7" t="s">
        <v>92</v>
      </c>
      <c r="C199" s="6"/>
      <c r="D199" s="31"/>
      <c r="E199" s="31"/>
      <c r="F199" s="31"/>
      <c r="G199" s="31"/>
      <c r="H199" s="31"/>
      <c r="I199" s="41">
        <v>1.028</v>
      </c>
      <c r="J199" s="31"/>
      <c r="K199" s="31"/>
      <c r="L199" s="31"/>
      <c r="M199" s="31"/>
      <c r="N199" s="31"/>
      <c r="O199" s="192"/>
    </row>
    <row r="200" spans="1:75" ht="38.25" hidden="1" x14ac:dyDescent="0.2">
      <c r="A200" s="6" t="s">
        <v>136</v>
      </c>
      <c r="B200" s="14" t="s">
        <v>158</v>
      </c>
      <c r="C200" s="6"/>
      <c r="D200" s="31"/>
      <c r="E200" s="31"/>
      <c r="F200" s="31"/>
      <c r="G200" s="31"/>
      <c r="H200" s="31"/>
      <c r="I200" s="41">
        <v>1.028</v>
      </c>
      <c r="J200" s="31"/>
      <c r="K200" s="31"/>
      <c r="L200" s="31"/>
      <c r="M200" s="31"/>
      <c r="N200" s="31"/>
      <c r="O200" s="192"/>
    </row>
    <row r="201" spans="1:75" s="11" customFormat="1" x14ac:dyDescent="0.2">
      <c r="A201" s="4">
        <v>14</v>
      </c>
      <c r="B201" s="5" t="s">
        <v>159</v>
      </c>
      <c r="C201" s="4">
        <f>SUM(C202:C214)</f>
        <v>518</v>
      </c>
      <c r="D201" s="32"/>
      <c r="E201" s="32">
        <f>SUM(E202:E207)</f>
        <v>16359037</v>
      </c>
      <c r="F201" s="31"/>
      <c r="G201" s="32">
        <f>SUM(G202:G207)</f>
        <v>1712929</v>
      </c>
      <c r="H201" s="32"/>
      <c r="I201" s="47"/>
      <c r="J201" s="31"/>
      <c r="K201" s="32">
        <f>SUM(K202:K207)</f>
        <v>4921240.5488399994</v>
      </c>
      <c r="L201" s="32"/>
      <c r="M201" s="32">
        <f>SUM(M202:M207)</f>
        <v>22993206.548839998</v>
      </c>
      <c r="N201" s="32"/>
      <c r="O201" s="190">
        <f>SUM(O202:O207)</f>
        <v>22993206.548839998</v>
      </c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201"/>
    </row>
    <row r="202" spans="1:75" ht="51" x14ac:dyDescent="0.2">
      <c r="A202" s="6" t="s">
        <v>137</v>
      </c>
      <c r="B202" s="14" t="s">
        <v>255</v>
      </c>
      <c r="C202" s="6"/>
      <c r="D202" s="31"/>
      <c r="E202" s="31"/>
      <c r="F202" s="31"/>
      <c r="G202" s="31"/>
      <c r="H202" s="31"/>
      <c r="I202" s="41"/>
      <c r="J202" s="31"/>
      <c r="K202" s="31"/>
      <c r="L202" s="31"/>
      <c r="M202" s="31"/>
      <c r="N202" s="31"/>
      <c r="O202" s="192"/>
    </row>
    <row r="203" spans="1:75" x14ac:dyDescent="0.2">
      <c r="A203" s="6"/>
      <c r="B203" s="103" t="s">
        <v>280</v>
      </c>
      <c r="C203" s="6">
        <v>326</v>
      </c>
      <c r="D203" s="31">
        <v>31306</v>
      </c>
      <c r="E203" s="31">
        <f t="shared" ref="E203" si="94">C203*D203</f>
        <v>10205756</v>
      </c>
      <c r="F203" s="31">
        <f t="shared" ref="F203:F205" si="95">ROUND((D203*10.47143%),0)</f>
        <v>3278</v>
      </c>
      <c r="G203" s="31">
        <f t="shared" ref="G203:G205" si="96">ROUND((C203*F203),0)</f>
        <v>1068628</v>
      </c>
      <c r="H203" s="31">
        <v>9188.07</v>
      </c>
      <c r="I203" s="41">
        <v>1.034</v>
      </c>
      <c r="J203" s="31">
        <f t="shared" ref="J203:J205" si="97">H203*I203</f>
        <v>9500.4643799999994</v>
      </c>
      <c r="K203" s="31">
        <f t="shared" ref="K203:K205" si="98">C203*J203</f>
        <v>3097151.3878799998</v>
      </c>
      <c r="L203" s="31">
        <f t="shared" ref="L203:M205" si="99">D203+F203+J203</f>
        <v>44084.464379999998</v>
      </c>
      <c r="M203" s="31">
        <f t="shared" si="99"/>
        <v>14371535.387879999</v>
      </c>
      <c r="N203" s="31"/>
      <c r="O203" s="192">
        <f t="shared" ref="O203:O213" si="100">M203+N203</f>
        <v>14371535.387879999</v>
      </c>
    </row>
    <row r="204" spans="1:75" x14ac:dyDescent="0.2">
      <c r="A204" s="6"/>
      <c r="B204" s="103" t="s">
        <v>309</v>
      </c>
      <c r="C204" s="6">
        <v>191</v>
      </c>
      <c r="D204" s="31">
        <v>31306</v>
      </c>
      <c r="E204" s="31">
        <f>C204*D204</f>
        <v>5979446</v>
      </c>
      <c r="F204" s="31">
        <f t="shared" si="95"/>
        <v>3278</v>
      </c>
      <c r="G204" s="31">
        <f t="shared" si="96"/>
        <v>626098</v>
      </c>
      <c r="H204" s="31">
        <v>9188.07</v>
      </c>
      <c r="I204" s="41">
        <v>1.034</v>
      </c>
      <c r="J204" s="31">
        <f t="shared" si="97"/>
        <v>9500.4643799999994</v>
      </c>
      <c r="K204" s="31">
        <f t="shared" si="98"/>
        <v>1814588.69658</v>
      </c>
      <c r="L204" s="31">
        <f t="shared" si="99"/>
        <v>44084.464379999998</v>
      </c>
      <c r="M204" s="31">
        <f t="shared" si="99"/>
        <v>8420132.6965800002</v>
      </c>
      <c r="N204" s="31"/>
      <c r="O204" s="192">
        <f t="shared" si="100"/>
        <v>8420132.6965800002</v>
      </c>
    </row>
    <row r="205" spans="1:75" ht="25.5" x14ac:dyDescent="0.2">
      <c r="A205" s="6"/>
      <c r="B205" s="7" t="s">
        <v>281</v>
      </c>
      <c r="C205" s="6">
        <v>1</v>
      </c>
      <c r="D205" s="31">
        <v>173835</v>
      </c>
      <c r="E205" s="31">
        <f>C205*D205</f>
        <v>173835</v>
      </c>
      <c r="F205" s="31">
        <f t="shared" si="95"/>
        <v>18203</v>
      </c>
      <c r="G205" s="31">
        <f t="shared" si="96"/>
        <v>18203</v>
      </c>
      <c r="H205" s="31">
        <v>9188.07</v>
      </c>
      <c r="I205" s="41">
        <v>1.034</v>
      </c>
      <c r="J205" s="31">
        <f t="shared" si="97"/>
        <v>9500.4643799999994</v>
      </c>
      <c r="K205" s="31">
        <f t="shared" si="98"/>
        <v>9500.4643799999994</v>
      </c>
      <c r="L205" s="31">
        <f t="shared" si="99"/>
        <v>201538.46437999999</v>
      </c>
      <c r="M205" s="31">
        <f t="shared" si="99"/>
        <v>201538.46437999999</v>
      </c>
      <c r="N205" s="31"/>
      <c r="O205" s="192">
        <f t="shared" si="100"/>
        <v>201538.46437999999</v>
      </c>
    </row>
    <row r="206" spans="1:75" hidden="1" x14ac:dyDescent="0.2">
      <c r="A206" s="6"/>
      <c r="B206" s="103" t="s">
        <v>156</v>
      </c>
      <c r="C206" s="6"/>
      <c r="D206" s="31"/>
      <c r="E206" s="31"/>
      <c r="F206" s="31">
        <f t="shared" ref="F206:F213" si="101">ROUND((D206*10.4%),0)</f>
        <v>0</v>
      </c>
      <c r="G206" s="31"/>
      <c r="H206" s="31"/>
      <c r="I206" s="41">
        <v>1.034</v>
      </c>
      <c r="J206" s="31"/>
      <c r="K206" s="31"/>
      <c r="L206" s="31"/>
      <c r="M206" s="31"/>
      <c r="N206" s="31"/>
      <c r="O206" s="192">
        <f t="shared" si="100"/>
        <v>0</v>
      </c>
    </row>
    <row r="207" spans="1:75" hidden="1" x14ac:dyDescent="0.2">
      <c r="A207" s="6"/>
      <c r="B207" s="7" t="s">
        <v>157</v>
      </c>
      <c r="C207" s="6"/>
      <c r="D207" s="31">
        <v>173835</v>
      </c>
      <c r="E207" s="31"/>
      <c r="F207" s="31">
        <f t="shared" si="101"/>
        <v>18079</v>
      </c>
      <c r="G207" s="31"/>
      <c r="H207" s="31"/>
      <c r="I207" s="41">
        <v>1.034</v>
      </c>
      <c r="J207" s="31"/>
      <c r="K207" s="31"/>
      <c r="L207" s="31"/>
      <c r="M207" s="31"/>
      <c r="N207" s="31"/>
      <c r="O207" s="192">
        <f t="shared" si="100"/>
        <v>0</v>
      </c>
    </row>
    <row r="208" spans="1:75" ht="54" hidden="1" customHeight="1" x14ac:dyDescent="0.2">
      <c r="A208" s="6" t="s">
        <v>138</v>
      </c>
      <c r="B208" s="15" t="s">
        <v>161</v>
      </c>
      <c r="C208" s="6"/>
      <c r="D208" s="31"/>
      <c r="E208" s="31"/>
      <c r="F208" s="31">
        <f t="shared" si="101"/>
        <v>0</v>
      </c>
      <c r="G208" s="31"/>
      <c r="H208" s="31"/>
      <c r="I208" s="41">
        <v>1.034</v>
      </c>
      <c r="J208" s="31"/>
      <c r="K208" s="31"/>
      <c r="L208" s="31"/>
      <c r="M208" s="31"/>
      <c r="N208" s="31"/>
      <c r="O208" s="192">
        <f t="shared" si="100"/>
        <v>0</v>
      </c>
    </row>
    <row r="209" spans="1:75" hidden="1" x14ac:dyDescent="0.2">
      <c r="A209" s="6"/>
      <c r="B209" s="103" t="s">
        <v>91</v>
      </c>
      <c r="C209" s="6"/>
      <c r="D209" s="31"/>
      <c r="E209" s="31"/>
      <c r="F209" s="31">
        <f t="shared" si="101"/>
        <v>0</v>
      </c>
      <c r="G209" s="31"/>
      <c r="H209" s="31"/>
      <c r="I209" s="41">
        <v>1.034</v>
      </c>
      <c r="J209" s="31"/>
      <c r="K209" s="31"/>
      <c r="L209" s="31"/>
      <c r="M209" s="31"/>
      <c r="N209" s="31"/>
      <c r="O209" s="192">
        <f t="shared" si="100"/>
        <v>0</v>
      </c>
    </row>
    <row r="210" spans="1:75" hidden="1" x14ac:dyDescent="0.2">
      <c r="A210" s="6"/>
      <c r="B210" s="7" t="s">
        <v>92</v>
      </c>
      <c r="C210" s="6"/>
      <c r="D210" s="31"/>
      <c r="E210" s="31"/>
      <c r="F210" s="31">
        <f t="shared" si="101"/>
        <v>0</v>
      </c>
      <c r="G210" s="31"/>
      <c r="H210" s="31"/>
      <c r="I210" s="41">
        <v>1.034</v>
      </c>
      <c r="J210" s="31"/>
      <c r="K210" s="31"/>
      <c r="L210" s="31"/>
      <c r="M210" s="31"/>
      <c r="N210" s="31"/>
      <c r="O210" s="192">
        <f t="shared" si="100"/>
        <v>0</v>
      </c>
    </row>
    <row r="211" spans="1:75" hidden="1" x14ac:dyDescent="0.2">
      <c r="A211" s="6"/>
      <c r="B211" s="103" t="s">
        <v>156</v>
      </c>
      <c r="C211" s="6"/>
      <c r="D211" s="31"/>
      <c r="E211" s="31"/>
      <c r="F211" s="31">
        <f t="shared" si="101"/>
        <v>0</v>
      </c>
      <c r="G211" s="31"/>
      <c r="H211" s="31"/>
      <c r="I211" s="41">
        <v>1.034</v>
      </c>
      <c r="J211" s="31"/>
      <c r="K211" s="31"/>
      <c r="L211" s="31"/>
      <c r="M211" s="31"/>
      <c r="N211" s="31"/>
      <c r="O211" s="192">
        <f t="shared" si="100"/>
        <v>0</v>
      </c>
    </row>
    <row r="212" spans="1:75" hidden="1" x14ac:dyDescent="0.2">
      <c r="A212" s="6"/>
      <c r="B212" s="7" t="s">
        <v>157</v>
      </c>
      <c r="C212" s="6"/>
      <c r="D212" s="31"/>
      <c r="E212" s="31"/>
      <c r="F212" s="31">
        <f t="shared" si="101"/>
        <v>0</v>
      </c>
      <c r="G212" s="31"/>
      <c r="H212" s="31"/>
      <c r="I212" s="41">
        <v>1.034</v>
      </c>
      <c r="J212" s="31"/>
      <c r="K212" s="31"/>
      <c r="L212" s="31"/>
      <c r="M212" s="31"/>
      <c r="N212" s="31"/>
      <c r="O212" s="192">
        <f t="shared" si="100"/>
        <v>0</v>
      </c>
    </row>
    <row r="213" spans="1:75" ht="25.5" hidden="1" x14ac:dyDescent="0.2">
      <c r="A213" s="6" t="s">
        <v>139</v>
      </c>
      <c r="B213" s="15" t="s">
        <v>306</v>
      </c>
      <c r="C213" s="6"/>
      <c r="D213" s="31"/>
      <c r="E213" s="31"/>
      <c r="F213" s="31">
        <f t="shared" si="101"/>
        <v>0</v>
      </c>
      <c r="G213" s="31"/>
      <c r="H213" s="31"/>
      <c r="I213" s="41">
        <v>1.034</v>
      </c>
      <c r="J213" s="31"/>
      <c r="K213" s="31"/>
      <c r="L213" s="31"/>
      <c r="M213" s="31"/>
      <c r="N213" s="31"/>
      <c r="O213" s="192">
        <f t="shared" si="100"/>
        <v>0</v>
      </c>
    </row>
    <row r="214" spans="1:75" x14ac:dyDescent="0.2">
      <c r="A214" s="6"/>
      <c r="B214" s="103" t="s">
        <v>280</v>
      </c>
      <c r="C214" s="6"/>
      <c r="D214" s="31"/>
      <c r="E214" s="31"/>
      <c r="F214" s="31"/>
      <c r="G214" s="31"/>
      <c r="H214" s="31"/>
      <c r="I214" s="41"/>
      <c r="J214" s="31"/>
      <c r="K214" s="31"/>
      <c r="L214" s="31"/>
      <c r="M214" s="31"/>
      <c r="N214" s="31"/>
      <c r="O214" s="192"/>
    </row>
    <row r="215" spans="1:75" hidden="1" x14ac:dyDescent="0.2">
      <c r="A215" s="6"/>
      <c r="B215" s="7" t="s">
        <v>92</v>
      </c>
      <c r="C215" s="6"/>
      <c r="D215" s="31"/>
      <c r="E215" s="31"/>
      <c r="F215" s="31"/>
      <c r="G215" s="31"/>
      <c r="H215" s="31"/>
      <c r="I215" s="41"/>
      <c r="J215" s="31"/>
      <c r="K215" s="31"/>
      <c r="L215" s="31"/>
      <c r="M215" s="31"/>
      <c r="N215" s="31"/>
      <c r="O215" s="192"/>
    </row>
    <row r="216" spans="1:75" hidden="1" x14ac:dyDescent="0.2">
      <c r="A216" s="6"/>
      <c r="B216" s="103" t="s">
        <v>156</v>
      </c>
      <c r="C216" s="6"/>
      <c r="D216" s="31"/>
      <c r="E216" s="31"/>
      <c r="F216" s="31"/>
      <c r="G216" s="31"/>
      <c r="H216" s="31"/>
      <c r="I216" s="41"/>
      <c r="J216" s="31"/>
      <c r="K216" s="31"/>
      <c r="L216" s="31"/>
      <c r="M216" s="31"/>
      <c r="N216" s="31"/>
      <c r="O216" s="192"/>
    </row>
    <row r="217" spans="1:75" hidden="1" x14ac:dyDescent="0.2">
      <c r="A217" s="6"/>
      <c r="B217" s="7" t="s">
        <v>157</v>
      </c>
      <c r="C217" s="6"/>
      <c r="D217" s="31"/>
      <c r="E217" s="31"/>
      <c r="F217" s="31"/>
      <c r="G217" s="31"/>
      <c r="H217" s="31"/>
      <c r="I217" s="41"/>
      <c r="J217" s="31"/>
      <c r="K217" s="31"/>
      <c r="L217" s="31"/>
      <c r="M217" s="31"/>
      <c r="N217" s="31"/>
      <c r="O217" s="192"/>
    </row>
    <row r="218" spans="1:75" ht="38.25" hidden="1" x14ac:dyDescent="0.2">
      <c r="A218" s="6" t="s">
        <v>140</v>
      </c>
      <c r="B218" s="103" t="s">
        <v>162</v>
      </c>
      <c r="C218" s="6"/>
      <c r="D218" s="31"/>
      <c r="E218" s="31"/>
      <c r="F218" s="31"/>
      <c r="G218" s="31"/>
      <c r="H218" s="31"/>
      <c r="I218" s="41"/>
      <c r="J218" s="31"/>
      <c r="K218" s="31"/>
      <c r="L218" s="31"/>
      <c r="M218" s="31"/>
      <c r="N218" s="31"/>
      <c r="O218" s="192"/>
    </row>
    <row r="219" spans="1:75" s="11" customFormat="1" x14ac:dyDescent="0.2">
      <c r="A219" s="4">
        <v>15</v>
      </c>
      <c r="B219" s="5" t="s">
        <v>165</v>
      </c>
      <c r="C219" s="4">
        <f>SUM(C226:C229)</f>
        <v>64</v>
      </c>
      <c r="D219" s="32"/>
      <c r="E219" s="32">
        <f>SUM(E226:E229)</f>
        <v>2268032</v>
      </c>
      <c r="F219" s="31"/>
      <c r="G219" s="32">
        <f>SUM(G226:G229)</f>
        <v>237504</v>
      </c>
      <c r="H219" s="32"/>
      <c r="I219" s="47"/>
      <c r="J219" s="31"/>
      <c r="K219" s="32">
        <f>SUM(K226:K229)</f>
        <v>608029.72031999996</v>
      </c>
      <c r="L219" s="32"/>
      <c r="M219" s="32">
        <f>SUM(M226:M229)</f>
        <v>3113565.7203199998</v>
      </c>
      <c r="N219" s="32"/>
      <c r="O219" s="190">
        <f>SUM(O226:O229)</f>
        <v>3113565.7203199998</v>
      </c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1"/>
      <c r="BW219" s="201"/>
    </row>
    <row r="220" spans="1:75" ht="25.5" hidden="1" x14ac:dyDescent="0.2">
      <c r="A220" s="6" t="s">
        <v>141</v>
      </c>
      <c r="B220" s="14" t="s">
        <v>166</v>
      </c>
      <c r="C220" s="6"/>
      <c r="D220" s="31"/>
      <c r="E220" s="31"/>
      <c r="F220" s="31"/>
      <c r="G220" s="31"/>
      <c r="H220" s="31"/>
      <c r="I220" s="41"/>
      <c r="J220" s="31"/>
      <c r="K220" s="31"/>
      <c r="L220" s="31"/>
      <c r="M220" s="31"/>
      <c r="N220" s="31"/>
      <c r="O220" s="192"/>
    </row>
    <row r="221" spans="1:75" hidden="1" x14ac:dyDescent="0.2">
      <c r="A221" s="6"/>
      <c r="B221" s="103" t="s">
        <v>156</v>
      </c>
      <c r="C221" s="6"/>
      <c r="D221" s="31"/>
      <c r="E221" s="31"/>
      <c r="F221" s="31"/>
      <c r="G221" s="31"/>
      <c r="H221" s="31"/>
      <c r="I221" s="41"/>
      <c r="J221" s="31"/>
      <c r="K221" s="31"/>
      <c r="L221" s="31"/>
      <c r="M221" s="31"/>
      <c r="N221" s="31"/>
      <c r="O221" s="192"/>
    </row>
    <row r="222" spans="1:75" hidden="1" x14ac:dyDescent="0.2">
      <c r="A222" s="6"/>
      <c r="B222" s="7" t="s">
        <v>157</v>
      </c>
      <c r="C222" s="6"/>
      <c r="D222" s="31"/>
      <c r="E222" s="31"/>
      <c r="F222" s="31"/>
      <c r="G222" s="31"/>
      <c r="H222" s="31"/>
      <c r="I222" s="41"/>
      <c r="J222" s="31"/>
      <c r="K222" s="31"/>
      <c r="L222" s="31"/>
      <c r="M222" s="31"/>
      <c r="N222" s="31"/>
      <c r="O222" s="192"/>
    </row>
    <row r="223" spans="1:75" ht="54" hidden="1" customHeight="1" x14ac:dyDescent="0.2">
      <c r="A223" s="6" t="s">
        <v>142</v>
      </c>
      <c r="B223" s="15" t="s">
        <v>167</v>
      </c>
      <c r="C223" s="6"/>
      <c r="D223" s="31"/>
      <c r="E223" s="31"/>
      <c r="F223" s="31"/>
      <c r="G223" s="31"/>
      <c r="H223" s="31"/>
      <c r="I223" s="41"/>
      <c r="J223" s="31"/>
      <c r="K223" s="31"/>
      <c r="L223" s="31"/>
      <c r="M223" s="31"/>
      <c r="N223" s="31"/>
      <c r="O223" s="192"/>
    </row>
    <row r="224" spans="1:75" hidden="1" x14ac:dyDescent="0.2">
      <c r="A224" s="6"/>
      <c r="B224" s="103" t="s">
        <v>156</v>
      </c>
      <c r="C224" s="6"/>
      <c r="D224" s="31"/>
      <c r="E224" s="31"/>
      <c r="F224" s="31"/>
      <c r="G224" s="31"/>
      <c r="H224" s="31"/>
      <c r="I224" s="41"/>
      <c r="J224" s="31"/>
      <c r="K224" s="31"/>
      <c r="L224" s="31"/>
      <c r="M224" s="31"/>
      <c r="N224" s="31"/>
      <c r="O224" s="192"/>
    </row>
    <row r="225" spans="1:75" hidden="1" x14ac:dyDescent="0.2">
      <c r="A225" s="6"/>
      <c r="B225" s="7" t="s">
        <v>157</v>
      </c>
      <c r="C225" s="6"/>
      <c r="D225" s="31"/>
      <c r="E225" s="31"/>
      <c r="F225" s="31"/>
      <c r="G225" s="31"/>
      <c r="H225" s="31"/>
      <c r="I225" s="41"/>
      <c r="J225" s="31"/>
      <c r="K225" s="31"/>
      <c r="L225" s="31"/>
      <c r="M225" s="31"/>
      <c r="N225" s="31"/>
      <c r="O225" s="192"/>
    </row>
    <row r="226" spans="1:75" ht="25.5" x14ac:dyDescent="0.2">
      <c r="A226" s="6" t="s">
        <v>143</v>
      </c>
      <c r="B226" s="15" t="s">
        <v>307</v>
      </c>
      <c r="C226" s="6"/>
      <c r="D226" s="31"/>
      <c r="E226" s="31"/>
      <c r="F226" s="31"/>
      <c r="G226" s="31"/>
      <c r="H226" s="31"/>
      <c r="I226" s="41"/>
      <c r="J226" s="31"/>
      <c r="K226" s="31"/>
      <c r="L226" s="31"/>
      <c r="M226" s="31"/>
      <c r="N226" s="31"/>
      <c r="O226" s="192"/>
    </row>
    <row r="227" spans="1:75" x14ac:dyDescent="0.2">
      <c r="A227" s="6"/>
      <c r="B227" s="103" t="s">
        <v>280</v>
      </c>
      <c r="C227" s="6">
        <v>64</v>
      </c>
      <c r="D227" s="31">
        <v>35438</v>
      </c>
      <c r="E227" s="31">
        <f>C227*D227</f>
        <v>2268032</v>
      </c>
      <c r="F227" s="31">
        <f t="shared" ref="F227" si="102">ROUND((D227*10.47143%),0)</f>
        <v>3711</v>
      </c>
      <c r="G227" s="31">
        <f t="shared" ref="G227" si="103">ROUND((C227*F227),0)</f>
        <v>237504</v>
      </c>
      <c r="H227" s="31">
        <v>9188.07</v>
      </c>
      <c r="I227" s="41">
        <v>1.034</v>
      </c>
      <c r="J227" s="31">
        <f t="shared" ref="J227" si="104">H227*I227</f>
        <v>9500.4643799999994</v>
      </c>
      <c r="K227" s="31">
        <f t="shared" ref="K227" si="105">C227*J227</f>
        <v>608029.72031999996</v>
      </c>
      <c r="L227" s="31">
        <f t="shared" ref="L227:M227" si="106">D227+F227+J227</f>
        <v>48649.464379999998</v>
      </c>
      <c r="M227" s="31">
        <f t="shared" si="106"/>
        <v>3113565.7203199998</v>
      </c>
      <c r="N227" s="31"/>
      <c r="O227" s="192">
        <f t="shared" ref="O227" si="107">M227+N227</f>
        <v>3113565.7203199998</v>
      </c>
    </row>
    <row r="228" spans="1:75" x14ac:dyDescent="0.2">
      <c r="A228" s="6"/>
      <c r="B228" s="7" t="s">
        <v>305</v>
      </c>
      <c r="C228" s="6"/>
      <c r="D228" s="31"/>
      <c r="E228" s="31"/>
      <c r="F228" s="31"/>
      <c r="G228" s="31"/>
      <c r="H228" s="31"/>
      <c r="I228" s="41">
        <v>1.034</v>
      </c>
      <c r="J228" s="31"/>
      <c r="K228" s="31"/>
      <c r="L228" s="31"/>
      <c r="M228" s="31"/>
      <c r="N228" s="31"/>
      <c r="O228" s="192"/>
    </row>
    <row r="229" spans="1:75" ht="38.25" x14ac:dyDescent="0.2">
      <c r="A229" s="6" t="s">
        <v>225</v>
      </c>
      <c r="B229" s="103" t="s">
        <v>168</v>
      </c>
      <c r="C229" s="6"/>
      <c r="D229" s="31"/>
      <c r="E229" s="31"/>
      <c r="F229" s="31"/>
      <c r="G229" s="31"/>
      <c r="H229" s="31"/>
      <c r="I229" s="41">
        <v>1.034</v>
      </c>
      <c r="J229" s="31"/>
      <c r="K229" s="31"/>
      <c r="L229" s="31"/>
      <c r="M229" s="31"/>
      <c r="N229" s="31"/>
      <c r="O229" s="192"/>
    </row>
    <row r="230" spans="1:75" s="81" customFormat="1" ht="14.25" customHeight="1" x14ac:dyDescent="0.2">
      <c r="B230" s="82" t="s">
        <v>185</v>
      </c>
      <c r="C230" s="88">
        <f>C187+C201+C219</f>
        <v>1086</v>
      </c>
      <c r="D230" s="48"/>
      <c r="E230" s="48">
        <f>E187+E201+E219</f>
        <v>32061421</v>
      </c>
      <c r="F230" s="48"/>
      <c r="G230" s="48">
        <f>G187+G201+G219</f>
        <v>3357125</v>
      </c>
      <c r="H230" s="48"/>
      <c r="I230" s="143"/>
      <c r="J230" s="48"/>
      <c r="K230" s="48">
        <f>K187+K201+K219</f>
        <v>10248678.996679999</v>
      </c>
      <c r="L230" s="48"/>
      <c r="M230" s="48">
        <f>M187+M201+M219</f>
        <v>45667224.996679999</v>
      </c>
      <c r="N230" s="48">
        <v>562000</v>
      </c>
      <c r="O230" s="146">
        <f>M230+N230</f>
        <v>46229224.996679999</v>
      </c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3"/>
      <c r="AZ230" s="203"/>
      <c r="BA230" s="203"/>
      <c r="BB230" s="203"/>
      <c r="BC230" s="203"/>
      <c r="BD230" s="203"/>
      <c r="BE230" s="203"/>
      <c r="BF230" s="203"/>
      <c r="BG230" s="203"/>
      <c r="BH230" s="203"/>
      <c r="BI230" s="203"/>
      <c r="BJ230" s="203"/>
      <c r="BK230" s="203"/>
      <c r="BL230" s="203"/>
      <c r="BM230" s="203"/>
      <c r="BN230" s="203"/>
      <c r="BO230" s="203"/>
      <c r="BP230" s="203"/>
      <c r="BQ230" s="203"/>
      <c r="BR230" s="203"/>
      <c r="BS230" s="203"/>
      <c r="BT230" s="203"/>
      <c r="BU230" s="203"/>
      <c r="BV230" s="203"/>
      <c r="BW230" s="203"/>
    </row>
    <row r="231" spans="1:75" s="11" customFormat="1" x14ac:dyDescent="0.2">
      <c r="A231" s="4">
        <v>16</v>
      </c>
      <c r="B231" s="18" t="s">
        <v>186</v>
      </c>
      <c r="C231" s="4">
        <f>SUM(C232:C235)</f>
        <v>610</v>
      </c>
      <c r="D231" s="32"/>
      <c r="E231" s="32">
        <f>SUM(E232:E235)</f>
        <v>17275534</v>
      </c>
      <c r="F231" s="32"/>
      <c r="G231" s="32">
        <f>SUM(G232:G235)</f>
        <v>1808993</v>
      </c>
      <c r="H231" s="32"/>
      <c r="I231" s="47"/>
      <c r="J231" s="32"/>
      <c r="K231" s="32">
        <f>SUM(K232:K235)</f>
        <v>4715065.6906999992</v>
      </c>
      <c r="L231" s="32"/>
      <c r="M231" s="32">
        <f>SUM(M232:M235)</f>
        <v>23799592.690699998</v>
      </c>
      <c r="N231" s="32"/>
      <c r="O231" s="190">
        <f>SUM(O232:O235)</f>
        <v>23799592.690699998</v>
      </c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  <c r="BI231" s="201"/>
      <c r="BJ231" s="201"/>
      <c r="BK231" s="201"/>
      <c r="BL231" s="201"/>
      <c r="BM231" s="201"/>
      <c r="BN231" s="201"/>
      <c r="BO231" s="201"/>
      <c r="BP231" s="201"/>
      <c r="BQ231" s="201"/>
      <c r="BR231" s="201"/>
      <c r="BS231" s="201"/>
      <c r="BT231" s="201"/>
      <c r="BU231" s="201"/>
      <c r="BV231" s="201"/>
      <c r="BW231" s="201"/>
    </row>
    <row r="232" spans="1:75" ht="51" x14ac:dyDescent="0.2">
      <c r="A232" s="6" t="s">
        <v>144</v>
      </c>
      <c r="B232" s="14" t="s">
        <v>226</v>
      </c>
      <c r="C232" s="6"/>
      <c r="D232" s="31"/>
      <c r="E232" s="31"/>
      <c r="F232" s="31"/>
      <c r="G232" s="31"/>
      <c r="H232" s="31"/>
      <c r="I232" s="41"/>
      <c r="J232" s="31"/>
      <c r="K232" s="31"/>
      <c r="L232" s="31"/>
      <c r="M232" s="31"/>
      <c r="N232" s="31"/>
      <c r="O232" s="192"/>
    </row>
    <row r="233" spans="1:75" x14ac:dyDescent="0.2">
      <c r="A233" s="6"/>
      <c r="B233" s="10" t="s">
        <v>280</v>
      </c>
      <c r="C233" s="6">
        <v>407</v>
      </c>
      <c r="D233" s="31">
        <v>25796</v>
      </c>
      <c r="E233" s="31">
        <f>C233*D233</f>
        <v>10498972</v>
      </c>
      <c r="F233" s="31">
        <f t="shared" ref="F233:F235" si="108">ROUND((D233*10.47143%),0)</f>
        <v>2701</v>
      </c>
      <c r="G233" s="31">
        <f>ROUND((C233*F233),0)</f>
        <v>1099307</v>
      </c>
      <c r="H233" s="31">
        <v>9188.07</v>
      </c>
      <c r="I233" s="41">
        <v>0.84099999999999997</v>
      </c>
      <c r="J233" s="31">
        <f t="shared" ref="J233:J244" si="109">H233*I233</f>
        <v>7727.1668699999991</v>
      </c>
      <c r="K233" s="31">
        <f>C233*J233+22.78+1471.12</f>
        <v>3146450.8160899994</v>
      </c>
      <c r="L233" s="31">
        <f t="shared" ref="L233:M235" si="110">D233+F233+J233</f>
        <v>36224.166870000001</v>
      </c>
      <c r="M233" s="31">
        <f t="shared" si="110"/>
        <v>14744729.816089999</v>
      </c>
      <c r="N233" s="31"/>
      <c r="O233" s="192">
        <f t="shared" ref="O233:O235" si="111">M233+N233</f>
        <v>14744729.816089999</v>
      </c>
    </row>
    <row r="234" spans="1:75" x14ac:dyDescent="0.2">
      <c r="A234" s="6"/>
      <c r="B234" s="103" t="s">
        <v>309</v>
      </c>
      <c r="C234" s="6">
        <v>195</v>
      </c>
      <c r="D234" s="31">
        <v>29046</v>
      </c>
      <c r="E234" s="31">
        <f>C234*D234+48</f>
        <v>5664018</v>
      </c>
      <c r="F234" s="31">
        <f t="shared" si="108"/>
        <v>3042</v>
      </c>
      <c r="G234" s="31">
        <f t="shared" ref="G234:G235" si="112">ROUND((C234*F234),0)</f>
        <v>593190</v>
      </c>
      <c r="H234" s="31">
        <v>9188.07</v>
      </c>
      <c r="I234" s="41">
        <v>0.84099999999999997</v>
      </c>
      <c r="J234" s="31">
        <f t="shared" si="109"/>
        <v>7727.1668699999991</v>
      </c>
      <c r="K234" s="31">
        <f t="shared" ref="K234:K235" si="113">C234*J234</f>
        <v>1506797.5396499999</v>
      </c>
      <c r="L234" s="31">
        <f t="shared" si="110"/>
        <v>39815.166870000001</v>
      </c>
      <c r="M234" s="31">
        <f t="shared" si="110"/>
        <v>7764005.5396499997</v>
      </c>
      <c r="N234" s="31"/>
      <c r="O234" s="192">
        <f t="shared" si="111"/>
        <v>7764005.5396499997</v>
      </c>
    </row>
    <row r="235" spans="1:75" ht="25.5" x14ac:dyDescent="0.2">
      <c r="A235" s="6"/>
      <c r="B235" s="7" t="s">
        <v>303</v>
      </c>
      <c r="C235" s="6">
        <v>8</v>
      </c>
      <c r="D235" s="31">
        <v>139068</v>
      </c>
      <c r="E235" s="31">
        <f>C235*D235</f>
        <v>1112544</v>
      </c>
      <c r="F235" s="31">
        <f t="shared" si="108"/>
        <v>14562</v>
      </c>
      <c r="G235" s="31">
        <f t="shared" si="112"/>
        <v>116496</v>
      </c>
      <c r="H235" s="31">
        <v>9188.07</v>
      </c>
      <c r="I235" s="41">
        <v>0.84099999999999997</v>
      </c>
      <c r="J235" s="31">
        <f t="shared" si="109"/>
        <v>7727.1668699999991</v>
      </c>
      <c r="K235" s="31">
        <f t="shared" si="113"/>
        <v>61817.334959999993</v>
      </c>
      <c r="L235" s="31">
        <f t="shared" si="110"/>
        <v>161357.16686999999</v>
      </c>
      <c r="M235" s="31">
        <f t="shared" si="110"/>
        <v>1290857.3349599999</v>
      </c>
      <c r="N235" s="31"/>
      <c r="O235" s="192">
        <f t="shared" si="111"/>
        <v>1290857.3349599999</v>
      </c>
    </row>
    <row r="236" spans="1:75" ht="51" hidden="1" x14ac:dyDescent="0.2">
      <c r="A236" s="6" t="s">
        <v>145</v>
      </c>
      <c r="B236" s="15" t="s">
        <v>163</v>
      </c>
      <c r="C236" s="6"/>
      <c r="D236" s="31"/>
      <c r="E236" s="31"/>
      <c r="F236" s="31"/>
      <c r="G236" s="31"/>
      <c r="H236" s="31"/>
      <c r="I236" s="41"/>
      <c r="J236" s="31">
        <f t="shared" si="109"/>
        <v>0</v>
      </c>
      <c r="K236" s="31"/>
      <c r="L236" s="31"/>
      <c r="M236" s="31"/>
      <c r="N236" s="31"/>
      <c r="O236" s="192"/>
    </row>
    <row r="237" spans="1:75" hidden="1" x14ac:dyDescent="0.2">
      <c r="A237" s="6"/>
      <c r="B237" s="103" t="s">
        <v>91</v>
      </c>
      <c r="C237" s="6"/>
      <c r="D237" s="31"/>
      <c r="E237" s="31"/>
      <c r="F237" s="31"/>
      <c r="G237" s="31"/>
      <c r="H237" s="31"/>
      <c r="I237" s="41"/>
      <c r="J237" s="31">
        <f t="shared" si="109"/>
        <v>0</v>
      </c>
      <c r="K237" s="31"/>
      <c r="L237" s="31"/>
      <c r="M237" s="31"/>
      <c r="N237" s="31"/>
      <c r="O237" s="192"/>
    </row>
    <row r="238" spans="1:75" hidden="1" x14ac:dyDescent="0.2">
      <c r="A238" s="6"/>
      <c r="B238" s="7" t="s">
        <v>92</v>
      </c>
      <c r="C238" s="6"/>
      <c r="D238" s="31"/>
      <c r="E238" s="31"/>
      <c r="F238" s="31"/>
      <c r="G238" s="31"/>
      <c r="H238" s="31"/>
      <c r="I238" s="41"/>
      <c r="J238" s="31">
        <f t="shared" si="109"/>
        <v>0</v>
      </c>
      <c r="K238" s="31"/>
      <c r="L238" s="31"/>
      <c r="M238" s="31"/>
      <c r="N238" s="31"/>
      <c r="O238" s="192"/>
    </row>
    <row r="239" spans="1:75" hidden="1" x14ac:dyDescent="0.2">
      <c r="A239" s="6"/>
      <c r="B239" s="103" t="s">
        <v>156</v>
      </c>
      <c r="C239" s="6"/>
      <c r="D239" s="31"/>
      <c r="E239" s="31"/>
      <c r="F239" s="31"/>
      <c r="G239" s="31"/>
      <c r="H239" s="31"/>
      <c r="I239" s="41"/>
      <c r="J239" s="31">
        <f t="shared" si="109"/>
        <v>0</v>
      </c>
      <c r="K239" s="31"/>
      <c r="L239" s="31"/>
      <c r="M239" s="31"/>
      <c r="N239" s="31"/>
      <c r="O239" s="192"/>
    </row>
    <row r="240" spans="1:75" hidden="1" x14ac:dyDescent="0.2">
      <c r="A240" s="6"/>
      <c r="B240" s="7" t="s">
        <v>157</v>
      </c>
      <c r="C240" s="6"/>
      <c r="D240" s="31"/>
      <c r="E240" s="31"/>
      <c r="F240" s="31"/>
      <c r="G240" s="31"/>
      <c r="H240" s="31"/>
      <c r="I240" s="41"/>
      <c r="J240" s="31">
        <f t="shared" si="109"/>
        <v>0</v>
      </c>
      <c r="K240" s="31"/>
      <c r="L240" s="31"/>
      <c r="M240" s="31"/>
      <c r="N240" s="31"/>
      <c r="O240" s="192"/>
    </row>
    <row r="241" spans="1:75" ht="51" hidden="1" x14ac:dyDescent="0.2">
      <c r="A241" s="6" t="s">
        <v>146</v>
      </c>
      <c r="B241" s="14" t="s">
        <v>155</v>
      </c>
      <c r="C241" s="6"/>
      <c r="D241" s="31"/>
      <c r="E241" s="31"/>
      <c r="F241" s="31"/>
      <c r="G241" s="31"/>
      <c r="H241" s="31"/>
      <c r="I241" s="41"/>
      <c r="J241" s="31">
        <f t="shared" si="109"/>
        <v>0</v>
      </c>
      <c r="K241" s="31"/>
      <c r="L241" s="31"/>
      <c r="M241" s="31"/>
      <c r="N241" s="31"/>
      <c r="O241" s="192"/>
    </row>
    <row r="242" spans="1:75" hidden="1" x14ac:dyDescent="0.2">
      <c r="A242" s="6"/>
      <c r="B242" s="10" t="s">
        <v>91</v>
      </c>
      <c r="C242" s="6"/>
      <c r="D242" s="31"/>
      <c r="E242" s="31"/>
      <c r="F242" s="31"/>
      <c r="G242" s="31"/>
      <c r="H242" s="31"/>
      <c r="I242" s="41"/>
      <c r="J242" s="31">
        <f t="shared" si="109"/>
        <v>0</v>
      </c>
      <c r="K242" s="31"/>
      <c r="L242" s="31"/>
      <c r="M242" s="31"/>
      <c r="N242" s="31"/>
      <c r="O242" s="192"/>
    </row>
    <row r="243" spans="1:75" hidden="1" x14ac:dyDescent="0.2">
      <c r="A243" s="6"/>
      <c r="B243" s="7" t="s">
        <v>92</v>
      </c>
      <c r="C243" s="6"/>
      <c r="D243" s="31"/>
      <c r="E243" s="31"/>
      <c r="F243" s="31"/>
      <c r="G243" s="31"/>
      <c r="H243" s="31"/>
      <c r="I243" s="41"/>
      <c r="J243" s="31">
        <f t="shared" si="109"/>
        <v>0</v>
      </c>
      <c r="K243" s="31"/>
      <c r="L243" s="31"/>
      <c r="M243" s="31"/>
      <c r="N243" s="31"/>
      <c r="O243" s="192"/>
    </row>
    <row r="244" spans="1:75" ht="38.25" hidden="1" x14ac:dyDescent="0.2">
      <c r="A244" s="6" t="s">
        <v>147</v>
      </c>
      <c r="B244" s="14" t="s">
        <v>158</v>
      </c>
      <c r="C244" s="6"/>
      <c r="D244" s="31"/>
      <c r="E244" s="31"/>
      <c r="F244" s="31"/>
      <c r="G244" s="31"/>
      <c r="H244" s="31"/>
      <c r="I244" s="41"/>
      <c r="J244" s="31">
        <f t="shared" si="109"/>
        <v>0</v>
      </c>
      <c r="K244" s="31"/>
      <c r="L244" s="31"/>
      <c r="M244" s="31"/>
      <c r="N244" s="31"/>
      <c r="O244" s="192"/>
    </row>
    <row r="245" spans="1:75" s="11" customFormat="1" x14ac:dyDescent="0.2">
      <c r="A245" s="4">
        <v>17</v>
      </c>
      <c r="B245" s="5" t="s">
        <v>159</v>
      </c>
      <c r="C245" s="4">
        <f>SUM(C246:C249)</f>
        <v>638</v>
      </c>
      <c r="D245" s="32"/>
      <c r="E245" s="32">
        <f>SUM(E246:E249)</f>
        <v>20115757</v>
      </c>
      <c r="F245" s="31"/>
      <c r="G245" s="32">
        <f>SUM(G246:G249)</f>
        <v>2106289</v>
      </c>
      <c r="H245" s="32"/>
      <c r="I245" s="47"/>
      <c r="J245" s="31"/>
      <c r="K245" s="32">
        <f>SUM(K246:K249)</f>
        <v>4929932.463059999</v>
      </c>
      <c r="L245" s="32"/>
      <c r="M245" s="32">
        <f>SUM(M246:M249)</f>
        <v>27151978.463060003</v>
      </c>
      <c r="N245" s="32"/>
      <c r="O245" s="190">
        <f>SUM(O246:O249)</f>
        <v>27151978.463060003</v>
      </c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1"/>
      <c r="BT245" s="201"/>
      <c r="BU245" s="201"/>
      <c r="BV245" s="201"/>
      <c r="BW245" s="201"/>
    </row>
    <row r="246" spans="1:75" ht="51" x14ac:dyDescent="0.2">
      <c r="A246" s="6" t="s">
        <v>15</v>
      </c>
      <c r="B246" s="14" t="s">
        <v>227</v>
      </c>
      <c r="C246" s="6"/>
      <c r="D246" s="31"/>
      <c r="E246" s="31"/>
      <c r="F246" s="31"/>
      <c r="G246" s="31"/>
      <c r="H246" s="31"/>
      <c r="I246" s="41"/>
      <c r="J246" s="31"/>
      <c r="K246" s="31"/>
      <c r="L246" s="31"/>
      <c r="M246" s="31"/>
      <c r="N246" s="31"/>
      <c r="O246" s="192"/>
    </row>
    <row r="247" spans="1:75" x14ac:dyDescent="0.2">
      <c r="A247" s="6"/>
      <c r="B247" s="10" t="s">
        <v>280</v>
      </c>
      <c r="C247" s="6">
        <v>309</v>
      </c>
      <c r="D247" s="31">
        <v>31306</v>
      </c>
      <c r="E247" s="31">
        <f>C247*D247</f>
        <v>9673554</v>
      </c>
      <c r="F247" s="31">
        <f t="shared" ref="F247:F249" si="114">ROUND((D247*10.47143%),0)</f>
        <v>3278</v>
      </c>
      <c r="G247" s="31">
        <f t="shared" ref="G247:G262" si="115">ROUND((C247*F247),0)</f>
        <v>1012902</v>
      </c>
      <c r="H247" s="31">
        <v>9188.07</v>
      </c>
      <c r="I247" s="41">
        <v>0.84099999999999997</v>
      </c>
      <c r="J247" s="31">
        <f t="shared" ref="J247:J249" si="116">H247*I247</f>
        <v>7727.1668699999991</v>
      </c>
      <c r="K247" s="31">
        <f t="shared" ref="K247:K249" si="117">C247*J247</f>
        <v>2387694.5628299997</v>
      </c>
      <c r="L247" s="31">
        <f t="shared" ref="L247:M249" si="118">D247+F247+J247</f>
        <v>42311.166870000001</v>
      </c>
      <c r="M247" s="31">
        <f t="shared" si="118"/>
        <v>13074150.562829999</v>
      </c>
      <c r="N247" s="31"/>
      <c r="O247" s="192">
        <f t="shared" ref="O247:O262" si="119">M247+N247</f>
        <v>13074150.562829999</v>
      </c>
    </row>
    <row r="248" spans="1:75" x14ac:dyDescent="0.2">
      <c r="A248" s="6"/>
      <c r="B248" s="103" t="s">
        <v>309</v>
      </c>
      <c r="C248" s="6">
        <v>328</v>
      </c>
      <c r="D248" s="31">
        <v>31306</v>
      </c>
      <c r="E248" s="31">
        <f>C248*D248</f>
        <v>10268368</v>
      </c>
      <c r="F248" s="31">
        <f t="shared" si="114"/>
        <v>3278</v>
      </c>
      <c r="G248" s="31">
        <f t="shared" si="115"/>
        <v>1075184</v>
      </c>
      <c r="H248" s="31">
        <v>9188.07</v>
      </c>
      <c r="I248" s="41">
        <v>0.84099999999999997</v>
      </c>
      <c r="J248" s="31">
        <f t="shared" si="116"/>
        <v>7727.1668699999991</v>
      </c>
      <c r="K248" s="31">
        <f t="shared" si="117"/>
        <v>2534510.7333599995</v>
      </c>
      <c r="L248" s="31">
        <f t="shared" si="118"/>
        <v>42311.166870000001</v>
      </c>
      <c r="M248" s="31">
        <f t="shared" si="118"/>
        <v>13878062.73336</v>
      </c>
      <c r="N248" s="31"/>
      <c r="O248" s="192">
        <f t="shared" si="119"/>
        <v>13878062.73336</v>
      </c>
    </row>
    <row r="249" spans="1:75" ht="25.5" x14ac:dyDescent="0.2">
      <c r="A249" s="6"/>
      <c r="B249" s="7" t="s">
        <v>281</v>
      </c>
      <c r="C249" s="6">
        <v>1</v>
      </c>
      <c r="D249" s="31">
        <v>173835</v>
      </c>
      <c r="E249" s="31">
        <f>C249*D249</f>
        <v>173835</v>
      </c>
      <c r="F249" s="31">
        <f t="shared" si="114"/>
        <v>18203</v>
      </c>
      <c r="G249" s="31">
        <f t="shared" si="115"/>
        <v>18203</v>
      </c>
      <c r="H249" s="31">
        <v>9188.07</v>
      </c>
      <c r="I249" s="41">
        <v>0.84099999999999997</v>
      </c>
      <c r="J249" s="31">
        <f t="shared" si="116"/>
        <v>7727.1668699999991</v>
      </c>
      <c r="K249" s="31">
        <f t="shared" si="117"/>
        <v>7727.1668699999991</v>
      </c>
      <c r="L249" s="31">
        <f t="shared" si="118"/>
        <v>199765.16686999999</v>
      </c>
      <c r="M249" s="31">
        <f t="shared" si="118"/>
        <v>199765.16686999999</v>
      </c>
      <c r="N249" s="31"/>
      <c r="O249" s="192">
        <f t="shared" si="119"/>
        <v>199765.16686999999</v>
      </c>
    </row>
    <row r="250" spans="1:75" hidden="1" x14ac:dyDescent="0.2">
      <c r="A250" s="6"/>
      <c r="B250" s="103" t="s">
        <v>156</v>
      </c>
      <c r="C250" s="6"/>
      <c r="D250" s="31"/>
      <c r="E250" s="31"/>
      <c r="F250" s="31"/>
      <c r="G250" s="31">
        <f t="shared" si="115"/>
        <v>0</v>
      </c>
      <c r="H250" s="31"/>
      <c r="I250" s="41">
        <v>0.84799999999999998</v>
      </c>
      <c r="J250" s="31"/>
      <c r="K250" s="31"/>
      <c r="L250" s="31"/>
      <c r="M250" s="31"/>
      <c r="N250" s="31"/>
      <c r="O250" s="192">
        <f t="shared" si="119"/>
        <v>0</v>
      </c>
    </row>
    <row r="251" spans="1:75" hidden="1" x14ac:dyDescent="0.2">
      <c r="A251" s="6"/>
      <c r="B251" s="7" t="s">
        <v>157</v>
      </c>
      <c r="C251" s="6"/>
      <c r="D251" s="31"/>
      <c r="E251" s="31"/>
      <c r="F251" s="31"/>
      <c r="G251" s="31">
        <f t="shared" si="115"/>
        <v>0</v>
      </c>
      <c r="H251" s="31"/>
      <c r="I251" s="41">
        <v>0.84799999999999998</v>
      </c>
      <c r="J251" s="31"/>
      <c r="K251" s="31"/>
      <c r="L251" s="31"/>
      <c r="M251" s="31"/>
      <c r="N251" s="31"/>
      <c r="O251" s="192">
        <f t="shared" si="119"/>
        <v>0</v>
      </c>
    </row>
    <row r="252" spans="1:75" ht="54" hidden="1" customHeight="1" x14ac:dyDescent="0.2">
      <c r="A252" s="6" t="s">
        <v>59</v>
      </c>
      <c r="B252" s="15" t="s">
        <v>161</v>
      </c>
      <c r="C252" s="6"/>
      <c r="D252" s="31"/>
      <c r="E252" s="31"/>
      <c r="F252" s="31"/>
      <c r="G252" s="31">
        <f t="shared" si="115"/>
        <v>0</v>
      </c>
      <c r="H252" s="31"/>
      <c r="I252" s="41">
        <v>0.84799999999999998</v>
      </c>
      <c r="J252" s="31"/>
      <c r="K252" s="31"/>
      <c r="L252" s="31"/>
      <c r="M252" s="31"/>
      <c r="N252" s="31"/>
      <c r="O252" s="192">
        <f t="shared" si="119"/>
        <v>0</v>
      </c>
    </row>
    <row r="253" spans="1:75" hidden="1" x14ac:dyDescent="0.2">
      <c r="A253" s="6"/>
      <c r="B253" s="103" t="s">
        <v>91</v>
      </c>
      <c r="C253" s="6"/>
      <c r="D253" s="31"/>
      <c r="E253" s="31"/>
      <c r="F253" s="31"/>
      <c r="G253" s="31">
        <f t="shared" si="115"/>
        <v>0</v>
      </c>
      <c r="H253" s="31"/>
      <c r="I253" s="41">
        <v>0.84799999999999998</v>
      </c>
      <c r="J253" s="31"/>
      <c r="K253" s="31"/>
      <c r="L253" s="31"/>
      <c r="M253" s="31"/>
      <c r="N253" s="31"/>
      <c r="O253" s="192">
        <f t="shared" si="119"/>
        <v>0</v>
      </c>
    </row>
    <row r="254" spans="1:75" hidden="1" x14ac:dyDescent="0.2">
      <c r="A254" s="6"/>
      <c r="B254" s="7" t="s">
        <v>92</v>
      </c>
      <c r="C254" s="6"/>
      <c r="D254" s="31"/>
      <c r="E254" s="31"/>
      <c r="F254" s="31"/>
      <c r="G254" s="31">
        <f t="shared" si="115"/>
        <v>0</v>
      </c>
      <c r="H254" s="31"/>
      <c r="I254" s="41">
        <v>0.84799999999999998</v>
      </c>
      <c r="J254" s="31"/>
      <c r="K254" s="31"/>
      <c r="L254" s="31"/>
      <c r="M254" s="31"/>
      <c r="N254" s="31"/>
      <c r="O254" s="192">
        <f t="shared" si="119"/>
        <v>0</v>
      </c>
    </row>
    <row r="255" spans="1:75" hidden="1" x14ac:dyDescent="0.2">
      <c r="A255" s="6"/>
      <c r="B255" s="103" t="s">
        <v>156</v>
      </c>
      <c r="C255" s="6"/>
      <c r="D255" s="31"/>
      <c r="E255" s="31"/>
      <c r="F255" s="31"/>
      <c r="G255" s="31">
        <f t="shared" si="115"/>
        <v>0</v>
      </c>
      <c r="H255" s="31"/>
      <c r="I255" s="41">
        <v>0.84799999999999998</v>
      </c>
      <c r="J255" s="31"/>
      <c r="K255" s="31"/>
      <c r="L255" s="31"/>
      <c r="M255" s="31"/>
      <c r="N255" s="31"/>
      <c r="O255" s="192">
        <f t="shared" si="119"/>
        <v>0</v>
      </c>
    </row>
    <row r="256" spans="1:75" hidden="1" x14ac:dyDescent="0.2">
      <c r="A256" s="6"/>
      <c r="B256" s="7" t="s">
        <v>157</v>
      </c>
      <c r="C256" s="6"/>
      <c r="D256" s="31"/>
      <c r="E256" s="31"/>
      <c r="F256" s="31"/>
      <c r="G256" s="31">
        <f t="shared" si="115"/>
        <v>0</v>
      </c>
      <c r="H256" s="31"/>
      <c r="I256" s="41">
        <v>0.84799999999999998</v>
      </c>
      <c r="J256" s="31"/>
      <c r="K256" s="31"/>
      <c r="L256" s="31"/>
      <c r="M256" s="31"/>
      <c r="N256" s="31"/>
      <c r="O256" s="192">
        <f t="shared" si="119"/>
        <v>0</v>
      </c>
    </row>
    <row r="257" spans="1:75" ht="51" hidden="1" x14ac:dyDescent="0.2">
      <c r="A257" s="6" t="s">
        <v>60</v>
      </c>
      <c r="B257" s="15" t="s">
        <v>163</v>
      </c>
      <c r="C257" s="6"/>
      <c r="D257" s="31"/>
      <c r="E257" s="31"/>
      <c r="F257" s="31"/>
      <c r="G257" s="31">
        <f t="shared" si="115"/>
        <v>0</v>
      </c>
      <c r="H257" s="31"/>
      <c r="I257" s="41">
        <v>0.84799999999999998</v>
      </c>
      <c r="J257" s="31"/>
      <c r="K257" s="31"/>
      <c r="L257" s="31"/>
      <c r="M257" s="31"/>
      <c r="N257" s="31"/>
      <c r="O257" s="192">
        <f t="shared" si="119"/>
        <v>0</v>
      </c>
    </row>
    <row r="258" spans="1:75" hidden="1" x14ac:dyDescent="0.2">
      <c r="A258" s="6"/>
      <c r="B258" s="103" t="s">
        <v>91</v>
      </c>
      <c r="C258" s="6"/>
      <c r="D258" s="31"/>
      <c r="E258" s="31"/>
      <c r="F258" s="31"/>
      <c r="G258" s="31">
        <f t="shared" si="115"/>
        <v>0</v>
      </c>
      <c r="H258" s="31"/>
      <c r="I258" s="41">
        <v>0.84799999999999998</v>
      </c>
      <c r="J258" s="31"/>
      <c r="K258" s="31"/>
      <c r="L258" s="31"/>
      <c r="M258" s="31"/>
      <c r="N258" s="31"/>
      <c r="O258" s="192">
        <f t="shared" si="119"/>
        <v>0</v>
      </c>
    </row>
    <row r="259" spans="1:75" hidden="1" x14ac:dyDescent="0.2">
      <c r="A259" s="6"/>
      <c r="B259" s="7" t="s">
        <v>92</v>
      </c>
      <c r="C259" s="6"/>
      <c r="D259" s="31"/>
      <c r="E259" s="31"/>
      <c r="F259" s="31"/>
      <c r="G259" s="31">
        <f t="shared" si="115"/>
        <v>0</v>
      </c>
      <c r="H259" s="31"/>
      <c r="I259" s="41">
        <v>0.84799999999999998</v>
      </c>
      <c r="J259" s="31"/>
      <c r="K259" s="31"/>
      <c r="L259" s="31"/>
      <c r="M259" s="31"/>
      <c r="N259" s="31"/>
      <c r="O259" s="192">
        <f t="shared" si="119"/>
        <v>0</v>
      </c>
    </row>
    <row r="260" spans="1:75" hidden="1" x14ac:dyDescent="0.2">
      <c r="A260" s="6"/>
      <c r="B260" s="103" t="s">
        <v>156</v>
      </c>
      <c r="C260" s="6"/>
      <c r="D260" s="31"/>
      <c r="E260" s="31"/>
      <c r="F260" s="31"/>
      <c r="G260" s="31">
        <f t="shared" si="115"/>
        <v>0</v>
      </c>
      <c r="H260" s="31"/>
      <c r="I260" s="41">
        <v>0.84799999999999998</v>
      </c>
      <c r="J260" s="31"/>
      <c r="K260" s="31"/>
      <c r="L260" s="31"/>
      <c r="M260" s="31"/>
      <c r="N260" s="31"/>
      <c r="O260" s="192">
        <f t="shared" si="119"/>
        <v>0</v>
      </c>
    </row>
    <row r="261" spans="1:75" hidden="1" x14ac:dyDescent="0.2">
      <c r="A261" s="6"/>
      <c r="B261" s="7" t="s">
        <v>157</v>
      </c>
      <c r="C261" s="6"/>
      <c r="D261" s="31"/>
      <c r="E261" s="31"/>
      <c r="F261" s="31"/>
      <c r="G261" s="31">
        <f t="shared" si="115"/>
        <v>0</v>
      </c>
      <c r="H261" s="31"/>
      <c r="I261" s="41">
        <v>0.84799999999999998</v>
      </c>
      <c r="J261" s="31"/>
      <c r="K261" s="31"/>
      <c r="L261" s="31"/>
      <c r="M261" s="31"/>
      <c r="N261" s="31"/>
      <c r="O261" s="192">
        <f t="shared" si="119"/>
        <v>0</v>
      </c>
    </row>
    <row r="262" spans="1:75" ht="38.25" hidden="1" x14ac:dyDescent="0.2">
      <c r="A262" s="6" t="s">
        <v>61</v>
      </c>
      <c r="B262" s="103" t="s">
        <v>162</v>
      </c>
      <c r="C262" s="6"/>
      <c r="D262" s="31"/>
      <c r="E262" s="31"/>
      <c r="F262" s="31"/>
      <c r="G262" s="31">
        <f t="shared" si="115"/>
        <v>0</v>
      </c>
      <c r="H262" s="31"/>
      <c r="I262" s="41">
        <v>0.84799999999999998</v>
      </c>
      <c r="J262" s="31"/>
      <c r="K262" s="31"/>
      <c r="L262" s="31"/>
      <c r="M262" s="31"/>
      <c r="N262" s="31"/>
      <c r="O262" s="192">
        <f t="shared" si="119"/>
        <v>0</v>
      </c>
    </row>
    <row r="263" spans="1:75" s="11" customFormat="1" x14ac:dyDescent="0.2">
      <c r="A263" s="4">
        <v>3</v>
      </c>
      <c r="B263" s="5" t="s">
        <v>165</v>
      </c>
      <c r="C263" s="32">
        <f>SUM(C264:C266)</f>
        <v>53</v>
      </c>
      <c r="D263" s="32"/>
      <c r="E263" s="32">
        <f>SUM(E264:E266)</f>
        <v>2229217</v>
      </c>
      <c r="F263" s="31"/>
      <c r="G263" s="32">
        <f>SUM(G264:G266)</f>
        <v>233432</v>
      </c>
      <c r="H263" s="32"/>
      <c r="I263" s="47"/>
      <c r="J263" s="31"/>
      <c r="K263" s="32">
        <f>SUM(K264:K267)</f>
        <v>409539.84410999995</v>
      </c>
      <c r="L263" s="32"/>
      <c r="M263" s="32">
        <f>SUM(M264:M267)</f>
        <v>2872188.8441099999</v>
      </c>
      <c r="N263" s="32"/>
      <c r="O263" s="190">
        <f>SUM(O264:O267)</f>
        <v>2872188.8441099999</v>
      </c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/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201"/>
    </row>
    <row r="264" spans="1:75" ht="51" x14ac:dyDescent="0.2">
      <c r="A264" s="6" t="s">
        <v>93</v>
      </c>
      <c r="B264" s="14" t="s">
        <v>338</v>
      </c>
      <c r="C264" s="6"/>
      <c r="D264" s="31"/>
      <c r="E264" s="31"/>
      <c r="F264" s="31"/>
      <c r="G264" s="31"/>
      <c r="H264" s="31"/>
      <c r="I264" s="41"/>
      <c r="J264" s="31"/>
      <c r="K264" s="31"/>
      <c r="L264" s="31"/>
      <c r="M264" s="31"/>
      <c r="N264" s="31"/>
      <c r="O264" s="192"/>
    </row>
    <row r="265" spans="1:75" x14ac:dyDescent="0.2">
      <c r="A265" s="6"/>
      <c r="B265" s="10" t="s">
        <v>339</v>
      </c>
      <c r="C265" s="6">
        <v>52</v>
      </c>
      <c r="D265" s="31">
        <v>38858</v>
      </c>
      <c r="E265" s="31">
        <f>C265*D265</f>
        <v>2020616</v>
      </c>
      <c r="F265" s="31">
        <f t="shared" ref="F265:F266" si="120">ROUND((D265*10.47143%),0)</f>
        <v>4069</v>
      </c>
      <c r="G265" s="31">
        <f t="shared" ref="G265:G266" si="121">ROUND((C265*F265),0)</f>
        <v>211588</v>
      </c>
      <c r="H265" s="31">
        <v>9188.07</v>
      </c>
      <c r="I265" s="41">
        <v>0.84099999999999997</v>
      </c>
      <c r="J265" s="31">
        <f t="shared" ref="J265:J273" si="122">H265*I265</f>
        <v>7727.1668699999991</v>
      </c>
      <c r="K265" s="31">
        <f t="shared" ref="K265:K273" si="123">C265*J265</f>
        <v>401812.67723999993</v>
      </c>
      <c r="L265" s="31">
        <f t="shared" ref="L265:M273" si="124">D265+F265+J265</f>
        <v>50654.166870000001</v>
      </c>
      <c r="M265" s="31">
        <f t="shared" si="124"/>
        <v>2634016.6772400001</v>
      </c>
      <c r="N265" s="31"/>
      <c r="O265" s="192">
        <f t="shared" ref="O265:O273" si="125">M265+N265</f>
        <v>2634016.6772400001</v>
      </c>
    </row>
    <row r="266" spans="1:75" ht="25.5" x14ac:dyDescent="0.2">
      <c r="A266" s="6"/>
      <c r="B266" s="7" t="s">
        <v>281</v>
      </c>
      <c r="C266" s="6">
        <v>1</v>
      </c>
      <c r="D266" s="31">
        <v>208601</v>
      </c>
      <c r="E266" s="31">
        <f t="shared" ref="E266:E273" si="126">C266*D266</f>
        <v>208601</v>
      </c>
      <c r="F266" s="31">
        <f t="shared" si="120"/>
        <v>21844</v>
      </c>
      <c r="G266" s="31">
        <f t="shared" si="121"/>
        <v>21844</v>
      </c>
      <c r="H266" s="31">
        <v>9188.07</v>
      </c>
      <c r="I266" s="41">
        <v>0.84099999999999997</v>
      </c>
      <c r="J266" s="31">
        <f t="shared" si="122"/>
        <v>7727.1668699999991</v>
      </c>
      <c r="K266" s="31">
        <f t="shared" si="123"/>
        <v>7727.1668699999991</v>
      </c>
      <c r="L266" s="31">
        <f t="shared" si="124"/>
        <v>238172.16686999999</v>
      </c>
      <c r="M266" s="31">
        <f t="shared" si="124"/>
        <v>238172.16686999999</v>
      </c>
      <c r="N266" s="31"/>
      <c r="O266" s="192">
        <f t="shared" si="125"/>
        <v>238172.16686999999</v>
      </c>
    </row>
    <row r="267" spans="1:75" ht="54" hidden="1" customHeight="1" x14ac:dyDescent="0.2">
      <c r="A267" s="6" t="s">
        <v>94</v>
      </c>
      <c r="B267" s="15" t="s">
        <v>167</v>
      </c>
      <c r="C267" s="6"/>
      <c r="D267" s="31"/>
      <c r="E267" s="31">
        <f t="shared" si="126"/>
        <v>0</v>
      </c>
      <c r="F267" s="31"/>
      <c r="G267" s="31"/>
      <c r="H267" s="31"/>
      <c r="I267" s="41"/>
      <c r="J267" s="31">
        <f t="shared" si="122"/>
        <v>0</v>
      </c>
      <c r="K267" s="31">
        <f t="shared" si="123"/>
        <v>0</v>
      </c>
      <c r="L267" s="31">
        <f t="shared" si="124"/>
        <v>0</v>
      </c>
      <c r="M267" s="31">
        <f t="shared" si="124"/>
        <v>0</v>
      </c>
      <c r="N267" s="31"/>
      <c r="O267" s="192">
        <f t="shared" si="125"/>
        <v>0</v>
      </c>
    </row>
    <row r="268" spans="1:75" hidden="1" x14ac:dyDescent="0.2">
      <c r="A268" s="6"/>
      <c r="B268" s="103" t="s">
        <v>156</v>
      </c>
      <c r="C268" s="6"/>
      <c r="D268" s="31"/>
      <c r="E268" s="31">
        <f t="shared" si="126"/>
        <v>0</v>
      </c>
      <c r="F268" s="31"/>
      <c r="G268" s="31"/>
      <c r="H268" s="31"/>
      <c r="I268" s="41"/>
      <c r="J268" s="31">
        <f t="shared" si="122"/>
        <v>0</v>
      </c>
      <c r="K268" s="31">
        <f t="shared" si="123"/>
        <v>0</v>
      </c>
      <c r="L268" s="31">
        <f t="shared" si="124"/>
        <v>0</v>
      </c>
      <c r="M268" s="31">
        <f t="shared" si="124"/>
        <v>0</v>
      </c>
      <c r="N268" s="31"/>
      <c r="O268" s="192">
        <f t="shared" si="125"/>
        <v>0</v>
      </c>
    </row>
    <row r="269" spans="1:75" hidden="1" x14ac:dyDescent="0.2">
      <c r="A269" s="6"/>
      <c r="B269" s="7" t="s">
        <v>157</v>
      </c>
      <c r="C269" s="6"/>
      <c r="D269" s="31"/>
      <c r="E269" s="31">
        <f t="shared" si="126"/>
        <v>0</v>
      </c>
      <c r="F269" s="31"/>
      <c r="G269" s="31"/>
      <c r="H269" s="31"/>
      <c r="I269" s="41"/>
      <c r="J269" s="31">
        <f t="shared" si="122"/>
        <v>0</v>
      </c>
      <c r="K269" s="31">
        <f t="shared" si="123"/>
        <v>0</v>
      </c>
      <c r="L269" s="31">
        <f t="shared" si="124"/>
        <v>0</v>
      </c>
      <c r="M269" s="31">
        <f t="shared" si="124"/>
        <v>0</v>
      </c>
      <c r="N269" s="31"/>
      <c r="O269" s="192">
        <f t="shared" si="125"/>
        <v>0</v>
      </c>
    </row>
    <row r="270" spans="1:75" ht="51" hidden="1" x14ac:dyDescent="0.2">
      <c r="A270" s="6" t="s">
        <v>95</v>
      </c>
      <c r="B270" s="15" t="s">
        <v>153</v>
      </c>
      <c r="C270" s="6"/>
      <c r="D270" s="31"/>
      <c r="E270" s="31">
        <f t="shared" si="126"/>
        <v>0</v>
      </c>
      <c r="F270" s="31"/>
      <c r="G270" s="31"/>
      <c r="H270" s="31"/>
      <c r="I270" s="41"/>
      <c r="J270" s="31">
        <f t="shared" si="122"/>
        <v>0</v>
      </c>
      <c r="K270" s="31">
        <f t="shared" si="123"/>
        <v>0</v>
      </c>
      <c r="L270" s="31">
        <f t="shared" si="124"/>
        <v>0</v>
      </c>
      <c r="M270" s="31">
        <f t="shared" si="124"/>
        <v>0</v>
      </c>
      <c r="N270" s="31"/>
      <c r="O270" s="192">
        <f t="shared" si="125"/>
        <v>0</v>
      </c>
    </row>
    <row r="271" spans="1:75" hidden="1" x14ac:dyDescent="0.2">
      <c r="A271" s="6"/>
      <c r="B271" s="103" t="s">
        <v>156</v>
      </c>
      <c r="C271" s="6"/>
      <c r="D271" s="31"/>
      <c r="E271" s="31">
        <f t="shared" si="126"/>
        <v>0</v>
      </c>
      <c r="F271" s="31"/>
      <c r="G271" s="31"/>
      <c r="H271" s="31"/>
      <c r="I271" s="41"/>
      <c r="J271" s="31">
        <f t="shared" si="122"/>
        <v>0</v>
      </c>
      <c r="K271" s="31">
        <f t="shared" si="123"/>
        <v>0</v>
      </c>
      <c r="L271" s="31">
        <f t="shared" si="124"/>
        <v>0</v>
      </c>
      <c r="M271" s="31">
        <f t="shared" si="124"/>
        <v>0</v>
      </c>
      <c r="N271" s="31"/>
      <c r="O271" s="192">
        <f t="shared" si="125"/>
        <v>0</v>
      </c>
    </row>
    <row r="272" spans="1:75" hidden="1" x14ac:dyDescent="0.2">
      <c r="A272" s="6"/>
      <c r="B272" s="7" t="s">
        <v>157</v>
      </c>
      <c r="C272" s="6"/>
      <c r="D272" s="31"/>
      <c r="E272" s="31">
        <f t="shared" si="126"/>
        <v>0</v>
      </c>
      <c r="F272" s="31"/>
      <c r="G272" s="31"/>
      <c r="H272" s="31"/>
      <c r="I272" s="41"/>
      <c r="J272" s="31">
        <f t="shared" si="122"/>
        <v>0</v>
      </c>
      <c r="K272" s="31">
        <f t="shared" si="123"/>
        <v>0</v>
      </c>
      <c r="L272" s="31">
        <f t="shared" si="124"/>
        <v>0</v>
      </c>
      <c r="M272" s="31">
        <f t="shared" si="124"/>
        <v>0</v>
      </c>
      <c r="N272" s="31"/>
      <c r="O272" s="192">
        <f t="shared" si="125"/>
        <v>0</v>
      </c>
    </row>
    <row r="273" spans="1:75" ht="38.25" hidden="1" x14ac:dyDescent="0.2">
      <c r="A273" s="6" t="s">
        <v>169</v>
      </c>
      <c r="B273" s="103" t="s">
        <v>168</v>
      </c>
      <c r="C273" s="6"/>
      <c r="D273" s="31"/>
      <c r="E273" s="31">
        <f t="shared" si="126"/>
        <v>0</v>
      </c>
      <c r="F273" s="31"/>
      <c r="G273" s="31"/>
      <c r="H273" s="31"/>
      <c r="I273" s="41"/>
      <c r="J273" s="31">
        <f t="shared" si="122"/>
        <v>0</v>
      </c>
      <c r="K273" s="31">
        <f t="shared" si="123"/>
        <v>0</v>
      </c>
      <c r="L273" s="31">
        <f t="shared" si="124"/>
        <v>0</v>
      </c>
      <c r="M273" s="31">
        <f t="shared" si="124"/>
        <v>0</v>
      </c>
      <c r="N273" s="31"/>
      <c r="O273" s="192">
        <f t="shared" si="125"/>
        <v>0</v>
      </c>
    </row>
    <row r="274" spans="1:75" s="19" customFormat="1" x14ac:dyDescent="0.2">
      <c r="B274" s="18" t="s">
        <v>187</v>
      </c>
      <c r="C274" s="88">
        <f>C231+C245+C263</f>
        <v>1301</v>
      </c>
      <c r="D274" s="48"/>
      <c r="E274" s="48">
        <f>E231+E245+E263</f>
        <v>39620508</v>
      </c>
      <c r="F274" s="48"/>
      <c r="G274" s="48">
        <f>G231+G245+G263</f>
        <v>4148714</v>
      </c>
      <c r="H274" s="48"/>
      <c r="I274" s="143"/>
      <c r="J274" s="48"/>
      <c r="K274" s="48">
        <f>K231+K245+K263</f>
        <v>10054537.997869998</v>
      </c>
      <c r="L274" s="48"/>
      <c r="M274" s="48">
        <f>M231+M245+M263</f>
        <v>53823759.997869998</v>
      </c>
      <c r="N274" s="48">
        <v>565000</v>
      </c>
      <c r="O274" s="146">
        <f>M274+N274</f>
        <v>54388759.997869998</v>
      </c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  <c r="BV274" s="138"/>
      <c r="BW274" s="138"/>
    </row>
    <row r="275" spans="1:75" ht="25.5" hidden="1" x14ac:dyDescent="0.2">
      <c r="A275" s="6" t="s">
        <v>8</v>
      </c>
      <c r="B275" s="14" t="s">
        <v>154</v>
      </c>
      <c r="C275" s="6"/>
      <c r="D275" s="31"/>
      <c r="E275" s="31"/>
      <c r="F275" s="31"/>
      <c r="G275" s="31"/>
      <c r="H275" s="31"/>
      <c r="I275" s="41"/>
      <c r="J275" s="31"/>
      <c r="K275" s="31"/>
      <c r="L275" s="31"/>
      <c r="M275" s="31"/>
      <c r="N275" s="31"/>
      <c r="O275" s="192"/>
    </row>
    <row r="276" spans="1:75" hidden="1" x14ac:dyDescent="0.2">
      <c r="A276" s="6"/>
      <c r="B276" s="10" t="s">
        <v>91</v>
      </c>
      <c r="C276" s="6"/>
      <c r="D276" s="31"/>
      <c r="E276" s="31"/>
      <c r="F276" s="31"/>
      <c r="G276" s="31"/>
      <c r="H276" s="31"/>
      <c r="I276" s="41"/>
      <c r="J276" s="31"/>
      <c r="K276" s="31"/>
      <c r="L276" s="31"/>
      <c r="M276" s="31"/>
      <c r="N276" s="31"/>
      <c r="O276" s="192"/>
    </row>
    <row r="277" spans="1:75" hidden="1" x14ac:dyDescent="0.2">
      <c r="A277" s="6"/>
      <c r="B277" s="7" t="s">
        <v>92</v>
      </c>
      <c r="C277" s="6"/>
      <c r="D277" s="31"/>
      <c r="E277" s="31"/>
      <c r="F277" s="31"/>
      <c r="G277" s="31"/>
      <c r="H277" s="31"/>
      <c r="I277" s="41"/>
      <c r="J277" s="31"/>
      <c r="K277" s="31"/>
      <c r="L277" s="31"/>
      <c r="M277" s="31"/>
      <c r="N277" s="31"/>
      <c r="O277" s="192"/>
    </row>
    <row r="278" spans="1:75" s="11" customFormat="1" x14ac:dyDescent="0.2">
      <c r="A278" s="4" t="s">
        <v>6</v>
      </c>
      <c r="B278" s="18" t="s">
        <v>188</v>
      </c>
      <c r="C278" s="4">
        <f>SUM(C282:C285)</f>
        <v>496</v>
      </c>
      <c r="D278" s="32"/>
      <c r="E278" s="32">
        <f>SUM(E282:E285)</f>
        <v>13361176</v>
      </c>
      <c r="F278" s="32"/>
      <c r="G278" s="32">
        <f>SUM(G282:G285)</f>
        <v>1399001</v>
      </c>
      <c r="H278" s="32"/>
      <c r="I278" s="47"/>
      <c r="J278" s="32"/>
      <c r="K278" s="32">
        <f>SUM(K282:K285)</f>
        <v>4768963.6623999998</v>
      </c>
      <c r="L278" s="32"/>
      <c r="M278" s="32">
        <f>SUM(M282:M285)</f>
        <v>19529140.6624</v>
      </c>
      <c r="N278" s="32"/>
      <c r="O278" s="190">
        <f>SUM(O282:O285)</f>
        <v>19529140.6624</v>
      </c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</row>
    <row r="279" spans="1:75" ht="25.5" hidden="1" x14ac:dyDescent="0.2">
      <c r="A279" s="6" t="s">
        <v>8</v>
      </c>
      <c r="B279" s="14" t="s">
        <v>154</v>
      </c>
      <c r="C279" s="6"/>
      <c r="D279" s="31"/>
      <c r="E279" s="31"/>
      <c r="F279" s="31"/>
      <c r="G279" s="31"/>
      <c r="H279" s="31"/>
      <c r="I279" s="41"/>
      <c r="J279" s="31"/>
      <c r="K279" s="31"/>
      <c r="L279" s="31"/>
      <c r="M279" s="31"/>
      <c r="N279" s="31"/>
      <c r="O279" s="192"/>
    </row>
    <row r="280" spans="1:75" hidden="1" x14ac:dyDescent="0.2">
      <c r="A280" s="6"/>
      <c r="B280" s="10" t="s">
        <v>91</v>
      </c>
      <c r="C280" s="6"/>
      <c r="D280" s="31"/>
      <c r="E280" s="31"/>
      <c r="F280" s="31"/>
      <c r="G280" s="31"/>
      <c r="H280" s="31"/>
      <c r="I280" s="41"/>
      <c r="J280" s="31"/>
      <c r="K280" s="31"/>
      <c r="L280" s="31"/>
      <c r="M280" s="31"/>
      <c r="N280" s="31"/>
      <c r="O280" s="192"/>
    </row>
    <row r="281" spans="1:75" hidden="1" x14ac:dyDescent="0.2">
      <c r="A281" s="6"/>
      <c r="B281" s="7" t="s">
        <v>92</v>
      </c>
      <c r="C281" s="6"/>
      <c r="D281" s="31"/>
      <c r="E281" s="31"/>
      <c r="F281" s="31"/>
      <c r="G281" s="31"/>
      <c r="H281" s="31"/>
      <c r="I281" s="41"/>
      <c r="J281" s="31"/>
      <c r="K281" s="31"/>
      <c r="L281" s="31"/>
      <c r="M281" s="31"/>
      <c r="N281" s="31"/>
      <c r="O281" s="192"/>
    </row>
    <row r="282" spans="1:75" ht="51" x14ac:dyDescent="0.2">
      <c r="A282" s="6" t="s">
        <v>10</v>
      </c>
      <c r="B282" s="14" t="s">
        <v>226</v>
      </c>
      <c r="C282" s="6"/>
      <c r="D282" s="31"/>
      <c r="E282" s="31"/>
      <c r="F282" s="31"/>
      <c r="G282" s="31"/>
      <c r="H282" s="31"/>
      <c r="I282" s="41"/>
      <c r="J282" s="31"/>
      <c r="K282" s="31"/>
      <c r="L282" s="31"/>
      <c r="M282" s="31"/>
      <c r="N282" s="31"/>
      <c r="O282" s="192"/>
    </row>
    <row r="283" spans="1:75" x14ac:dyDescent="0.2">
      <c r="A283" s="6"/>
      <c r="B283" s="10" t="s">
        <v>280</v>
      </c>
      <c r="C283" s="6">
        <v>408</v>
      </c>
      <c r="D283" s="31">
        <v>25796</v>
      </c>
      <c r="E283" s="31">
        <f>C283*D283</f>
        <v>10524768</v>
      </c>
      <c r="F283" s="31">
        <f t="shared" ref="F283:F285" si="127">ROUND((D283*10.47143%),0)</f>
        <v>2701</v>
      </c>
      <c r="G283" s="31">
        <f>ROUND((C283*F283),0)</f>
        <v>1102008</v>
      </c>
      <c r="H283" s="31">
        <v>9188.07</v>
      </c>
      <c r="I283" s="41">
        <v>1.0449999999999999</v>
      </c>
      <c r="J283" s="31">
        <f t="shared" ref="J283:J285" si="128">H283*I283</f>
        <v>9601.5331499999993</v>
      </c>
      <c r="K283" s="31">
        <f>C283*J283+149.5+6453.72</f>
        <v>3924028.7451999998</v>
      </c>
      <c r="L283" s="31">
        <f t="shared" ref="L283:M285" si="129">D283+F283+J283</f>
        <v>38098.533150000003</v>
      </c>
      <c r="M283" s="31">
        <f t="shared" si="129"/>
        <v>15550804.745200001</v>
      </c>
      <c r="N283" s="31"/>
      <c r="O283" s="192">
        <f t="shared" ref="O283:O285" si="130">M283+N283</f>
        <v>15550804.745200001</v>
      </c>
    </row>
    <row r="284" spans="1:75" x14ac:dyDescent="0.2">
      <c r="A284" s="6"/>
      <c r="B284" s="103" t="s">
        <v>309</v>
      </c>
      <c r="C284" s="6">
        <v>83</v>
      </c>
      <c r="D284" s="31">
        <v>25796</v>
      </c>
      <c r="E284" s="31">
        <f>C284*D284</f>
        <v>2141068</v>
      </c>
      <c r="F284" s="31">
        <f t="shared" si="127"/>
        <v>2701</v>
      </c>
      <c r="G284" s="31">
        <f t="shared" ref="G284:G285" si="131">ROUND((C284*F284),0)</f>
        <v>224183</v>
      </c>
      <c r="H284" s="31">
        <v>9188.07</v>
      </c>
      <c r="I284" s="41">
        <v>1.0449999999999999</v>
      </c>
      <c r="J284" s="31">
        <f t="shared" si="128"/>
        <v>9601.5331499999993</v>
      </c>
      <c r="K284" s="31">
        <f t="shared" ref="K284:K285" si="132">C284*J284</f>
        <v>796927.25144999998</v>
      </c>
      <c r="L284" s="31">
        <f t="shared" si="129"/>
        <v>38098.533150000003</v>
      </c>
      <c r="M284" s="31">
        <f t="shared" si="129"/>
        <v>3162178.2514499999</v>
      </c>
      <c r="N284" s="31"/>
      <c r="O284" s="192">
        <f t="shared" si="130"/>
        <v>3162178.2514499999</v>
      </c>
    </row>
    <row r="285" spans="1:75" ht="30.75" customHeight="1" x14ac:dyDescent="0.2">
      <c r="A285" s="6"/>
      <c r="B285" s="7" t="s">
        <v>303</v>
      </c>
      <c r="C285" s="6">
        <v>5</v>
      </c>
      <c r="D285" s="31">
        <v>139068</v>
      </c>
      <c r="E285" s="31">
        <f>C285*D285</f>
        <v>695340</v>
      </c>
      <c r="F285" s="31">
        <f t="shared" si="127"/>
        <v>14562</v>
      </c>
      <c r="G285" s="31">
        <f t="shared" si="131"/>
        <v>72810</v>
      </c>
      <c r="H285" s="31">
        <v>9188.07</v>
      </c>
      <c r="I285" s="41">
        <v>1.0449999999999999</v>
      </c>
      <c r="J285" s="31">
        <f t="shared" si="128"/>
        <v>9601.5331499999993</v>
      </c>
      <c r="K285" s="31">
        <f t="shared" si="132"/>
        <v>48007.66575</v>
      </c>
      <c r="L285" s="31">
        <f t="shared" si="129"/>
        <v>163231.53315</v>
      </c>
      <c r="M285" s="31">
        <f t="shared" si="129"/>
        <v>816157.66575000004</v>
      </c>
      <c r="N285" s="31"/>
      <c r="O285" s="192">
        <f t="shared" si="130"/>
        <v>816157.66575000004</v>
      </c>
    </row>
    <row r="286" spans="1:75" hidden="1" x14ac:dyDescent="0.2">
      <c r="A286" s="6"/>
      <c r="B286" s="103" t="s">
        <v>156</v>
      </c>
      <c r="C286" s="6"/>
      <c r="D286" s="31"/>
      <c r="E286" s="31"/>
      <c r="F286" s="31"/>
      <c r="G286" s="31"/>
      <c r="H286" s="31"/>
      <c r="I286" s="41">
        <v>0.86499999999999999</v>
      </c>
      <c r="J286" s="31"/>
      <c r="K286" s="31"/>
      <c r="L286" s="31"/>
      <c r="M286" s="31"/>
      <c r="N286" s="31"/>
      <c r="O286" s="192"/>
    </row>
    <row r="287" spans="1:75" hidden="1" x14ac:dyDescent="0.2">
      <c r="A287" s="6"/>
      <c r="B287" s="7" t="s">
        <v>157</v>
      </c>
      <c r="C287" s="6"/>
      <c r="D287" s="31"/>
      <c r="E287" s="31"/>
      <c r="F287" s="31"/>
      <c r="G287" s="31"/>
      <c r="H287" s="31"/>
      <c r="I287" s="41">
        <v>0.86499999999999999</v>
      </c>
      <c r="J287" s="31"/>
      <c r="K287" s="31"/>
      <c r="L287" s="31"/>
      <c r="M287" s="31"/>
      <c r="N287" s="31"/>
      <c r="O287" s="192"/>
    </row>
    <row r="288" spans="1:75" ht="51" hidden="1" x14ac:dyDescent="0.2">
      <c r="A288" s="6" t="s">
        <v>12</v>
      </c>
      <c r="B288" s="14" t="s">
        <v>155</v>
      </c>
      <c r="C288" s="6"/>
      <c r="D288" s="31"/>
      <c r="E288" s="31"/>
      <c r="F288" s="31"/>
      <c r="G288" s="31"/>
      <c r="H288" s="31"/>
      <c r="I288" s="41">
        <v>0.86499999999999999</v>
      </c>
      <c r="J288" s="31"/>
      <c r="K288" s="31"/>
      <c r="L288" s="31"/>
      <c r="M288" s="31"/>
      <c r="N288" s="31"/>
      <c r="O288" s="192"/>
    </row>
    <row r="289" spans="1:75" hidden="1" x14ac:dyDescent="0.2">
      <c r="A289" s="6"/>
      <c r="B289" s="10" t="s">
        <v>91</v>
      </c>
      <c r="C289" s="6"/>
      <c r="D289" s="31"/>
      <c r="E289" s="31"/>
      <c r="F289" s="31"/>
      <c r="G289" s="31"/>
      <c r="H289" s="31"/>
      <c r="I289" s="41">
        <v>0.86499999999999999</v>
      </c>
      <c r="J289" s="31"/>
      <c r="K289" s="31"/>
      <c r="L289" s="31"/>
      <c r="M289" s="31"/>
      <c r="N289" s="31"/>
      <c r="O289" s="192"/>
    </row>
    <row r="290" spans="1:75" hidden="1" x14ac:dyDescent="0.2">
      <c r="A290" s="6"/>
      <c r="B290" s="7" t="s">
        <v>92</v>
      </c>
      <c r="C290" s="6"/>
      <c r="D290" s="31"/>
      <c r="E290" s="31"/>
      <c r="F290" s="31"/>
      <c r="G290" s="31"/>
      <c r="H290" s="31"/>
      <c r="I290" s="41">
        <v>0.86499999999999999</v>
      </c>
      <c r="J290" s="31"/>
      <c r="K290" s="31"/>
      <c r="L290" s="31"/>
      <c r="M290" s="31"/>
      <c r="N290" s="31"/>
      <c r="O290" s="192"/>
    </row>
    <row r="291" spans="1:75" ht="38.25" hidden="1" x14ac:dyDescent="0.2">
      <c r="A291" s="6" t="s">
        <v>53</v>
      </c>
      <c r="B291" s="14" t="s">
        <v>158</v>
      </c>
      <c r="C291" s="6"/>
      <c r="D291" s="31"/>
      <c r="E291" s="31"/>
      <c r="F291" s="31"/>
      <c r="G291" s="31"/>
      <c r="H291" s="31"/>
      <c r="I291" s="41">
        <v>0.86499999999999999</v>
      </c>
      <c r="J291" s="31"/>
      <c r="K291" s="31"/>
      <c r="L291" s="31"/>
      <c r="M291" s="31"/>
      <c r="N291" s="31"/>
      <c r="O291" s="192"/>
    </row>
    <row r="292" spans="1:75" s="11" customFormat="1" x14ac:dyDescent="0.2">
      <c r="A292" s="4" t="s">
        <v>164</v>
      </c>
      <c r="B292" s="5" t="s">
        <v>159</v>
      </c>
      <c r="C292" s="4">
        <f>SUM(C303:C306)</f>
        <v>608</v>
      </c>
      <c r="D292" s="32"/>
      <c r="E292" s="32">
        <f>SUM(E303:E306)</f>
        <v>19176577</v>
      </c>
      <c r="F292" s="31"/>
      <c r="G292" s="32">
        <f>SUM(G303:G306)</f>
        <v>2007949</v>
      </c>
      <c r="H292" s="32"/>
      <c r="I292" s="47"/>
      <c r="J292" s="31"/>
      <c r="K292" s="32">
        <f>SUM(K303:K306)</f>
        <v>5837732.155199999</v>
      </c>
      <c r="L292" s="32"/>
      <c r="M292" s="32">
        <f>SUM(M303:M306)</f>
        <v>27022258.155200001</v>
      </c>
      <c r="N292" s="32"/>
      <c r="O292" s="190">
        <f>SUM(O303:O306)</f>
        <v>27022258.155200001</v>
      </c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201"/>
      <c r="BT292" s="201"/>
      <c r="BU292" s="201"/>
      <c r="BV292" s="201"/>
      <c r="BW292" s="201"/>
    </row>
    <row r="293" spans="1:75" ht="25.5" hidden="1" x14ac:dyDescent="0.2">
      <c r="A293" s="6" t="s">
        <v>15</v>
      </c>
      <c r="B293" s="14" t="s">
        <v>160</v>
      </c>
      <c r="C293" s="6"/>
      <c r="D293" s="31"/>
      <c r="E293" s="31"/>
      <c r="F293" s="31"/>
      <c r="G293" s="31"/>
      <c r="H293" s="31"/>
      <c r="I293" s="41"/>
      <c r="J293" s="31"/>
      <c r="K293" s="31"/>
      <c r="L293" s="31"/>
      <c r="M293" s="31"/>
      <c r="N293" s="31"/>
      <c r="O293" s="192"/>
    </row>
    <row r="294" spans="1:75" hidden="1" x14ac:dyDescent="0.2">
      <c r="A294" s="6"/>
      <c r="B294" s="103" t="s">
        <v>91</v>
      </c>
      <c r="C294" s="6"/>
      <c r="D294" s="31"/>
      <c r="E294" s="31"/>
      <c r="F294" s="31"/>
      <c r="G294" s="31"/>
      <c r="H294" s="31"/>
      <c r="I294" s="41"/>
      <c r="J294" s="31"/>
      <c r="K294" s="31"/>
      <c r="L294" s="31"/>
      <c r="M294" s="31"/>
      <c r="N294" s="31"/>
      <c r="O294" s="192"/>
    </row>
    <row r="295" spans="1:75" hidden="1" x14ac:dyDescent="0.2">
      <c r="A295" s="6"/>
      <c r="B295" s="7" t="s">
        <v>92</v>
      </c>
      <c r="C295" s="6"/>
      <c r="D295" s="31"/>
      <c r="E295" s="31"/>
      <c r="F295" s="31"/>
      <c r="G295" s="31"/>
      <c r="H295" s="31"/>
      <c r="I295" s="41"/>
      <c r="J295" s="31"/>
      <c r="K295" s="31"/>
      <c r="L295" s="31"/>
      <c r="M295" s="31"/>
      <c r="N295" s="31"/>
      <c r="O295" s="192"/>
    </row>
    <row r="296" spans="1:75" hidden="1" x14ac:dyDescent="0.2">
      <c r="A296" s="6"/>
      <c r="B296" s="103" t="s">
        <v>156</v>
      </c>
      <c r="C296" s="6"/>
      <c r="D296" s="31"/>
      <c r="E296" s="31"/>
      <c r="F296" s="31"/>
      <c r="G296" s="31"/>
      <c r="H296" s="31"/>
      <c r="I296" s="41"/>
      <c r="J296" s="31"/>
      <c r="K296" s="31"/>
      <c r="L296" s="31"/>
      <c r="M296" s="31"/>
      <c r="N296" s="31"/>
      <c r="O296" s="192"/>
    </row>
    <row r="297" spans="1:75" hidden="1" x14ac:dyDescent="0.2">
      <c r="A297" s="6"/>
      <c r="B297" s="7" t="s">
        <v>157</v>
      </c>
      <c r="C297" s="6"/>
      <c r="D297" s="31"/>
      <c r="E297" s="31"/>
      <c r="F297" s="31"/>
      <c r="G297" s="31"/>
      <c r="H297" s="31"/>
      <c r="I297" s="41"/>
      <c r="J297" s="31"/>
      <c r="K297" s="31"/>
      <c r="L297" s="31"/>
      <c r="M297" s="31"/>
      <c r="N297" s="31"/>
      <c r="O297" s="192"/>
    </row>
    <row r="298" spans="1:75" ht="54" hidden="1" customHeight="1" x14ac:dyDescent="0.2">
      <c r="A298" s="6" t="s">
        <v>59</v>
      </c>
      <c r="B298" s="15" t="s">
        <v>161</v>
      </c>
      <c r="C298" s="6"/>
      <c r="D298" s="31"/>
      <c r="E298" s="31"/>
      <c r="F298" s="31"/>
      <c r="G298" s="31"/>
      <c r="H298" s="31"/>
      <c r="I298" s="41"/>
      <c r="J298" s="31"/>
      <c r="K298" s="31"/>
      <c r="L298" s="31"/>
      <c r="M298" s="31"/>
      <c r="N298" s="31"/>
      <c r="O298" s="192"/>
    </row>
    <row r="299" spans="1:75" hidden="1" x14ac:dyDescent="0.2">
      <c r="A299" s="6"/>
      <c r="B299" s="103" t="s">
        <v>91</v>
      </c>
      <c r="C299" s="6"/>
      <c r="D299" s="31"/>
      <c r="E299" s="31"/>
      <c r="F299" s="31"/>
      <c r="G299" s="31"/>
      <c r="H299" s="31"/>
      <c r="I299" s="41"/>
      <c r="J299" s="31"/>
      <c r="K299" s="31"/>
      <c r="L299" s="31"/>
      <c r="M299" s="31"/>
      <c r="N299" s="31"/>
      <c r="O299" s="192"/>
    </row>
    <row r="300" spans="1:75" hidden="1" x14ac:dyDescent="0.2">
      <c r="A300" s="6"/>
      <c r="B300" s="7" t="s">
        <v>92</v>
      </c>
      <c r="C300" s="6"/>
      <c r="D300" s="31"/>
      <c r="E300" s="31"/>
      <c r="F300" s="31"/>
      <c r="G300" s="31"/>
      <c r="H300" s="31"/>
      <c r="I300" s="41"/>
      <c r="J300" s="31"/>
      <c r="K300" s="31"/>
      <c r="L300" s="31"/>
      <c r="M300" s="31"/>
      <c r="N300" s="31"/>
      <c r="O300" s="192"/>
    </row>
    <row r="301" spans="1:75" hidden="1" x14ac:dyDescent="0.2">
      <c r="A301" s="6"/>
      <c r="B301" s="103" t="s">
        <v>156</v>
      </c>
      <c r="C301" s="6"/>
      <c r="D301" s="31"/>
      <c r="E301" s="31"/>
      <c r="F301" s="31"/>
      <c r="G301" s="31"/>
      <c r="H301" s="31"/>
      <c r="I301" s="41"/>
      <c r="J301" s="31"/>
      <c r="K301" s="31"/>
      <c r="L301" s="31"/>
      <c r="M301" s="31"/>
      <c r="N301" s="31"/>
      <c r="O301" s="192"/>
    </row>
    <row r="302" spans="1:75" hidden="1" x14ac:dyDescent="0.2">
      <c r="A302" s="6"/>
      <c r="B302" s="7" t="s">
        <v>157</v>
      </c>
      <c r="C302" s="6"/>
      <c r="D302" s="31"/>
      <c r="E302" s="31"/>
      <c r="F302" s="31"/>
      <c r="G302" s="31"/>
      <c r="H302" s="31"/>
      <c r="I302" s="41"/>
      <c r="J302" s="31"/>
      <c r="K302" s="31"/>
      <c r="L302" s="31"/>
      <c r="M302" s="31"/>
      <c r="N302" s="31"/>
      <c r="O302" s="192"/>
    </row>
    <row r="303" spans="1:75" ht="25.5" x14ac:dyDescent="0.2">
      <c r="A303" s="6" t="s">
        <v>60</v>
      </c>
      <c r="B303" s="15" t="s">
        <v>306</v>
      </c>
      <c r="C303" s="6"/>
      <c r="D303" s="31"/>
      <c r="E303" s="31"/>
      <c r="F303" s="31"/>
      <c r="G303" s="31"/>
      <c r="H303" s="31"/>
      <c r="I303" s="41"/>
      <c r="J303" s="31"/>
      <c r="K303" s="31"/>
      <c r="L303" s="31"/>
      <c r="M303" s="31"/>
      <c r="N303" s="31"/>
      <c r="O303" s="192"/>
    </row>
    <row r="304" spans="1:75" x14ac:dyDescent="0.2">
      <c r="A304" s="6"/>
      <c r="B304" s="10" t="s">
        <v>280</v>
      </c>
      <c r="C304" s="6">
        <v>450</v>
      </c>
      <c r="D304" s="31">
        <v>31306</v>
      </c>
      <c r="E304" s="31">
        <f>C304*D304</f>
        <v>14087700</v>
      </c>
      <c r="F304" s="31">
        <f t="shared" ref="F304:F309" si="133">ROUND((D304*10.47143%),0)</f>
        <v>3278</v>
      </c>
      <c r="G304" s="31">
        <f t="shared" ref="G304:G309" si="134">ROUND((C304*F304),0)</f>
        <v>1475100</v>
      </c>
      <c r="H304" s="31">
        <v>9188.07</v>
      </c>
      <c r="I304" s="41">
        <v>1.0449999999999999</v>
      </c>
      <c r="J304" s="31">
        <f t="shared" ref="J304:J306" si="135">H304*I304</f>
        <v>9601.5331499999993</v>
      </c>
      <c r="K304" s="31">
        <f t="shared" ref="K304:K309" si="136">C304*J304</f>
        <v>4320689.9174999995</v>
      </c>
      <c r="L304" s="31">
        <f t="shared" ref="L304:M306" si="137">D304+F304+J304</f>
        <v>44185.533150000003</v>
      </c>
      <c r="M304" s="31">
        <f t="shared" si="137"/>
        <v>19883489.9175</v>
      </c>
      <c r="N304" s="31"/>
      <c r="O304" s="192">
        <f t="shared" ref="O304:O309" si="138">M304+N304</f>
        <v>19883489.9175</v>
      </c>
    </row>
    <row r="305" spans="1:75" ht="15" customHeight="1" x14ac:dyDescent="0.2">
      <c r="A305" s="6"/>
      <c r="B305" s="103" t="s">
        <v>309</v>
      </c>
      <c r="C305" s="6">
        <v>157</v>
      </c>
      <c r="D305" s="31">
        <v>31306</v>
      </c>
      <c r="E305" s="31">
        <f t="shared" ref="E305:E306" si="139">C305*D305</f>
        <v>4915042</v>
      </c>
      <c r="F305" s="31">
        <f t="shared" si="133"/>
        <v>3278</v>
      </c>
      <c r="G305" s="31">
        <f t="shared" si="134"/>
        <v>514646</v>
      </c>
      <c r="H305" s="31">
        <v>9188.07</v>
      </c>
      <c r="I305" s="41">
        <v>1.0449999999999999</v>
      </c>
      <c r="J305" s="31">
        <f t="shared" si="135"/>
        <v>9601.5331499999993</v>
      </c>
      <c r="K305" s="31">
        <f t="shared" si="136"/>
        <v>1507440.7045499999</v>
      </c>
      <c r="L305" s="31">
        <f t="shared" si="137"/>
        <v>44185.533150000003</v>
      </c>
      <c r="M305" s="31">
        <f t="shared" si="137"/>
        <v>6937128.7045499999</v>
      </c>
      <c r="N305" s="31"/>
      <c r="O305" s="192">
        <f t="shared" si="138"/>
        <v>6937128.7045499999</v>
      </c>
    </row>
    <row r="306" spans="1:75" ht="25.5" x14ac:dyDescent="0.2">
      <c r="A306" s="6"/>
      <c r="B306" s="7" t="s">
        <v>281</v>
      </c>
      <c r="C306" s="6">
        <v>1</v>
      </c>
      <c r="D306" s="31">
        <v>173835</v>
      </c>
      <c r="E306" s="31">
        <f t="shared" si="139"/>
        <v>173835</v>
      </c>
      <c r="F306" s="31">
        <f t="shared" si="133"/>
        <v>18203</v>
      </c>
      <c r="G306" s="31">
        <f t="shared" si="134"/>
        <v>18203</v>
      </c>
      <c r="H306" s="31">
        <v>9188.07</v>
      </c>
      <c r="I306" s="41">
        <v>1.0449999999999999</v>
      </c>
      <c r="J306" s="31">
        <f t="shared" si="135"/>
        <v>9601.5331499999993</v>
      </c>
      <c r="K306" s="31">
        <f t="shared" si="136"/>
        <v>9601.5331499999993</v>
      </c>
      <c r="L306" s="31">
        <f t="shared" si="137"/>
        <v>201639.53315</v>
      </c>
      <c r="M306" s="31">
        <f t="shared" si="137"/>
        <v>201639.53315</v>
      </c>
      <c r="N306" s="31"/>
      <c r="O306" s="192">
        <f t="shared" si="138"/>
        <v>201639.53315</v>
      </c>
    </row>
    <row r="307" spans="1:75" hidden="1" x14ac:dyDescent="0.2">
      <c r="A307" s="6"/>
      <c r="B307" s="103" t="s">
        <v>156</v>
      </c>
      <c r="C307" s="6"/>
      <c r="D307" s="31"/>
      <c r="E307" s="31">
        <f t="shared" ref="E307:E309" si="140">C307*D307-1</f>
        <v>-1</v>
      </c>
      <c r="F307" s="31">
        <f t="shared" si="133"/>
        <v>0</v>
      </c>
      <c r="G307" s="31">
        <f t="shared" si="134"/>
        <v>0</v>
      </c>
      <c r="H307" s="31"/>
      <c r="I307" s="41">
        <v>1.0455000000000001</v>
      </c>
      <c r="J307" s="31"/>
      <c r="K307" s="31">
        <f t="shared" si="136"/>
        <v>0</v>
      </c>
      <c r="L307" s="31"/>
      <c r="M307" s="31"/>
      <c r="N307" s="31"/>
      <c r="O307" s="192">
        <f t="shared" si="138"/>
        <v>0</v>
      </c>
    </row>
    <row r="308" spans="1:75" hidden="1" x14ac:dyDescent="0.2">
      <c r="A308" s="6"/>
      <c r="B308" s="7" t="s">
        <v>157</v>
      </c>
      <c r="C308" s="6"/>
      <c r="D308" s="31"/>
      <c r="E308" s="31">
        <f t="shared" si="140"/>
        <v>-1</v>
      </c>
      <c r="F308" s="31">
        <f t="shared" si="133"/>
        <v>0</v>
      </c>
      <c r="G308" s="31">
        <f t="shared" si="134"/>
        <v>0</v>
      </c>
      <c r="H308" s="31"/>
      <c r="I308" s="41">
        <v>1.0455000000000001</v>
      </c>
      <c r="J308" s="31"/>
      <c r="K308" s="31">
        <f t="shared" si="136"/>
        <v>0</v>
      </c>
      <c r="L308" s="31"/>
      <c r="M308" s="31"/>
      <c r="N308" s="31"/>
      <c r="O308" s="192">
        <f t="shared" si="138"/>
        <v>0</v>
      </c>
    </row>
    <row r="309" spans="1:75" ht="38.25" hidden="1" x14ac:dyDescent="0.2">
      <c r="A309" s="6" t="s">
        <v>61</v>
      </c>
      <c r="B309" s="103" t="s">
        <v>162</v>
      </c>
      <c r="C309" s="6"/>
      <c r="D309" s="31"/>
      <c r="E309" s="31">
        <f t="shared" si="140"/>
        <v>-1</v>
      </c>
      <c r="F309" s="31">
        <f t="shared" si="133"/>
        <v>0</v>
      </c>
      <c r="G309" s="31">
        <f t="shared" si="134"/>
        <v>0</v>
      </c>
      <c r="H309" s="31"/>
      <c r="I309" s="41">
        <v>1.0455000000000001</v>
      </c>
      <c r="J309" s="31"/>
      <c r="K309" s="31">
        <f t="shared" si="136"/>
        <v>0</v>
      </c>
      <c r="L309" s="31"/>
      <c r="M309" s="31"/>
      <c r="N309" s="31"/>
      <c r="O309" s="192">
        <f t="shared" si="138"/>
        <v>0</v>
      </c>
    </row>
    <row r="310" spans="1:75" s="11" customFormat="1" x14ac:dyDescent="0.2">
      <c r="A310" s="4">
        <v>3</v>
      </c>
      <c r="B310" s="5" t="s">
        <v>165</v>
      </c>
      <c r="C310" s="4">
        <f>SUM(C317:C318)</f>
        <v>81</v>
      </c>
      <c r="D310" s="32"/>
      <c r="E310" s="32">
        <f>SUM(E317:E318)</f>
        <v>3147498</v>
      </c>
      <c r="F310" s="31"/>
      <c r="G310" s="32">
        <f>SUM(G317:G318)</f>
        <v>329589</v>
      </c>
      <c r="H310" s="32"/>
      <c r="I310" s="47"/>
      <c r="J310" s="31"/>
      <c r="K310" s="32">
        <f>SUM(K317:K318)</f>
        <v>777724.18514999992</v>
      </c>
      <c r="L310" s="32"/>
      <c r="M310" s="32">
        <f>SUM(M317:M318)</f>
        <v>4254811.1851500003</v>
      </c>
      <c r="N310" s="32"/>
      <c r="O310" s="190">
        <f>SUM(O317:O318)</f>
        <v>4254811.1851500003</v>
      </c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  <c r="BD310" s="201"/>
      <c r="BE310" s="201"/>
      <c r="BF310" s="201"/>
      <c r="BG310" s="201"/>
      <c r="BH310" s="201"/>
      <c r="BI310" s="201"/>
      <c r="BJ310" s="201"/>
      <c r="BK310" s="201"/>
      <c r="BL310" s="201"/>
      <c r="BM310" s="201"/>
      <c r="BN310" s="201"/>
      <c r="BO310" s="201"/>
      <c r="BP310" s="201"/>
      <c r="BQ310" s="201"/>
      <c r="BR310" s="201"/>
      <c r="BS310" s="201"/>
      <c r="BT310" s="201"/>
      <c r="BU310" s="201"/>
      <c r="BV310" s="201"/>
      <c r="BW310" s="201"/>
    </row>
    <row r="311" spans="1:75" ht="25.5" hidden="1" x14ac:dyDescent="0.2">
      <c r="A311" s="6" t="s">
        <v>93</v>
      </c>
      <c r="B311" s="14" t="s">
        <v>166</v>
      </c>
      <c r="C311" s="6"/>
      <c r="D311" s="31"/>
      <c r="E311" s="31"/>
      <c r="F311" s="31"/>
      <c r="G311" s="31"/>
      <c r="H311" s="31"/>
      <c r="I311" s="41"/>
      <c r="J311" s="31"/>
      <c r="K311" s="31"/>
      <c r="L311" s="31"/>
      <c r="M311" s="31"/>
      <c r="N311" s="31"/>
      <c r="O311" s="192"/>
    </row>
    <row r="312" spans="1:75" hidden="1" x14ac:dyDescent="0.2">
      <c r="A312" s="6"/>
      <c r="B312" s="103" t="s">
        <v>156</v>
      </c>
      <c r="C312" s="6"/>
      <c r="D312" s="31"/>
      <c r="E312" s="31"/>
      <c r="F312" s="31"/>
      <c r="G312" s="31"/>
      <c r="H312" s="31"/>
      <c r="I312" s="41"/>
      <c r="J312" s="31"/>
      <c r="K312" s="31"/>
      <c r="L312" s="31"/>
      <c r="M312" s="31"/>
      <c r="N312" s="31"/>
      <c r="O312" s="192"/>
    </row>
    <row r="313" spans="1:75" hidden="1" x14ac:dyDescent="0.2">
      <c r="A313" s="6"/>
      <c r="B313" s="7" t="s">
        <v>157</v>
      </c>
      <c r="C313" s="6"/>
      <c r="D313" s="31"/>
      <c r="E313" s="31"/>
      <c r="F313" s="31"/>
      <c r="G313" s="31"/>
      <c r="H313" s="31"/>
      <c r="I313" s="41"/>
      <c r="J313" s="31"/>
      <c r="K313" s="31"/>
      <c r="L313" s="31"/>
      <c r="M313" s="31"/>
      <c r="N313" s="31"/>
      <c r="O313" s="192"/>
    </row>
    <row r="314" spans="1:75" ht="54" hidden="1" customHeight="1" x14ac:dyDescent="0.2">
      <c r="A314" s="6" t="s">
        <v>94</v>
      </c>
      <c r="B314" s="15" t="s">
        <v>167</v>
      </c>
      <c r="C314" s="6"/>
      <c r="D314" s="31"/>
      <c r="E314" s="31"/>
      <c r="F314" s="31"/>
      <c r="G314" s="31"/>
      <c r="H314" s="31"/>
      <c r="I314" s="41"/>
      <c r="J314" s="31"/>
      <c r="K314" s="31"/>
      <c r="L314" s="31"/>
      <c r="M314" s="31"/>
      <c r="N314" s="31"/>
      <c r="O314" s="192"/>
    </row>
    <row r="315" spans="1:75" hidden="1" x14ac:dyDescent="0.2">
      <c r="A315" s="6"/>
      <c r="B315" s="103" t="s">
        <v>156</v>
      </c>
      <c r="C315" s="6"/>
      <c r="D315" s="31"/>
      <c r="E315" s="31"/>
      <c r="F315" s="31"/>
      <c r="G315" s="31"/>
      <c r="H315" s="31"/>
      <c r="I315" s="41"/>
      <c r="J315" s="31"/>
      <c r="K315" s="31"/>
      <c r="L315" s="31"/>
      <c r="M315" s="31"/>
      <c r="N315" s="31"/>
      <c r="O315" s="192"/>
    </row>
    <row r="316" spans="1:75" hidden="1" x14ac:dyDescent="0.2">
      <c r="A316" s="6"/>
      <c r="B316" s="7" t="s">
        <v>157</v>
      </c>
      <c r="C316" s="6"/>
      <c r="D316" s="31"/>
      <c r="E316" s="31"/>
      <c r="F316" s="31"/>
      <c r="G316" s="31"/>
      <c r="H316" s="31"/>
      <c r="I316" s="41"/>
      <c r="J316" s="31"/>
      <c r="K316" s="31"/>
      <c r="L316" s="31"/>
      <c r="M316" s="31"/>
      <c r="N316" s="31"/>
      <c r="O316" s="192"/>
    </row>
    <row r="317" spans="1:75" ht="25.5" x14ac:dyDescent="0.2">
      <c r="A317" s="6" t="s">
        <v>95</v>
      </c>
      <c r="B317" s="15" t="s">
        <v>307</v>
      </c>
      <c r="C317" s="6"/>
      <c r="D317" s="31"/>
      <c r="E317" s="31"/>
      <c r="F317" s="31"/>
      <c r="G317" s="31"/>
      <c r="H317" s="31"/>
      <c r="I317" s="41"/>
      <c r="J317" s="31"/>
      <c r="K317" s="31"/>
      <c r="L317" s="31"/>
      <c r="M317" s="31"/>
      <c r="N317" s="31"/>
      <c r="O317" s="192"/>
    </row>
    <row r="318" spans="1:75" x14ac:dyDescent="0.2">
      <c r="A318" s="6"/>
      <c r="B318" s="10" t="s">
        <v>339</v>
      </c>
      <c r="C318" s="6">
        <v>81</v>
      </c>
      <c r="D318" s="31">
        <v>38858</v>
      </c>
      <c r="E318" s="31">
        <f>C318*D318</f>
        <v>3147498</v>
      </c>
      <c r="F318" s="31">
        <f t="shared" ref="F318" si="141">ROUND((D318*10.47143%),0)</f>
        <v>4069</v>
      </c>
      <c r="G318" s="31">
        <f t="shared" ref="G318" si="142">ROUND((C318*F318),0)</f>
        <v>329589</v>
      </c>
      <c r="H318" s="31">
        <v>9188.07</v>
      </c>
      <c r="I318" s="41">
        <v>1.0449999999999999</v>
      </c>
      <c r="J318" s="31">
        <f t="shared" ref="J318" si="143">H318*I318</f>
        <v>9601.5331499999993</v>
      </c>
      <c r="K318" s="31">
        <f t="shared" ref="K318" si="144">C318*J318</f>
        <v>777724.18514999992</v>
      </c>
      <c r="L318" s="31">
        <f t="shared" ref="L318:M318" si="145">D318+F318+J318</f>
        <v>52528.533150000003</v>
      </c>
      <c r="M318" s="31">
        <f t="shared" si="145"/>
        <v>4254811.1851500003</v>
      </c>
      <c r="N318" s="31"/>
      <c r="O318" s="192">
        <f t="shared" ref="O318" si="146">M318+N318</f>
        <v>4254811.1851500003</v>
      </c>
    </row>
    <row r="319" spans="1:75" hidden="1" x14ac:dyDescent="0.2">
      <c r="A319" s="6"/>
      <c r="B319" s="7" t="s">
        <v>157</v>
      </c>
      <c r="C319" s="6"/>
      <c r="D319" s="31"/>
      <c r="E319" s="31"/>
      <c r="F319" s="31"/>
      <c r="G319" s="31"/>
      <c r="H319" s="31"/>
      <c r="I319" s="41"/>
      <c r="J319" s="31"/>
      <c r="K319" s="31"/>
      <c r="L319" s="31"/>
      <c r="M319" s="31"/>
      <c r="N319" s="31"/>
      <c r="O319" s="192"/>
    </row>
    <row r="320" spans="1:75" ht="38.25" hidden="1" x14ac:dyDescent="0.2">
      <c r="A320" s="6" t="s">
        <v>169</v>
      </c>
      <c r="B320" s="103" t="s">
        <v>168</v>
      </c>
      <c r="C320" s="6"/>
      <c r="D320" s="31"/>
      <c r="E320" s="31"/>
      <c r="F320" s="31"/>
      <c r="G320" s="31"/>
      <c r="H320" s="31"/>
      <c r="I320" s="41"/>
      <c r="J320" s="31"/>
      <c r="K320" s="31"/>
      <c r="L320" s="31"/>
      <c r="M320" s="31"/>
      <c r="N320" s="31"/>
      <c r="O320" s="192"/>
    </row>
    <row r="321" spans="1:75" s="19" customFormat="1" x14ac:dyDescent="0.2">
      <c r="B321" s="18" t="s">
        <v>189</v>
      </c>
      <c r="C321" s="88">
        <f>C278+C292+C310</f>
        <v>1185</v>
      </c>
      <c r="D321" s="48"/>
      <c r="E321" s="48">
        <f>E278+E292+E310</f>
        <v>35685251</v>
      </c>
      <c r="F321" s="48"/>
      <c r="G321" s="48">
        <f>G278+G292+G310</f>
        <v>3736539</v>
      </c>
      <c r="H321" s="48"/>
      <c r="I321" s="143"/>
      <c r="J321" s="48"/>
      <c r="K321" s="48">
        <f>K278+K292+K310</f>
        <v>11384420.002749998</v>
      </c>
      <c r="L321" s="48"/>
      <c r="M321" s="48">
        <f>M278+M292+M310</f>
        <v>50806210.002749994</v>
      </c>
      <c r="N321" s="48">
        <v>674000</v>
      </c>
      <c r="O321" s="146">
        <f>M321+N321</f>
        <v>51480210.002749994</v>
      </c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</row>
    <row r="322" spans="1:75" s="11" customFormat="1" x14ac:dyDescent="0.2">
      <c r="A322" s="4" t="s">
        <v>6</v>
      </c>
      <c r="B322" s="20" t="s">
        <v>190</v>
      </c>
      <c r="C322" s="4">
        <f>SUM(C326:C335)</f>
        <v>248</v>
      </c>
      <c r="D322" s="32"/>
      <c r="E322" s="32">
        <f>SUM(E326:E335)</f>
        <v>6397408</v>
      </c>
      <c r="F322" s="32"/>
      <c r="G322" s="32">
        <f>SUM(G326:G335)</f>
        <v>669848</v>
      </c>
      <c r="H322" s="32"/>
      <c r="I322" s="47"/>
      <c r="J322" s="32"/>
      <c r="K322" s="32">
        <f>SUM(K326:K335)</f>
        <v>4035315.9172</v>
      </c>
      <c r="L322" s="32"/>
      <c r="M322" s="32">
        <f>SUM(M326:M335)</f>
        <v>11102571.917199999</v>
      </c>
      <c r="N322" s="32"/>
      <c r="O322" s="190">
        <f>SUM(O326:O335)</f>
        <v>11102571.917199999</v>
      </c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  <c r="BI322" s="201"/>
      <c r="BJ322" s="201"/>
      <c r="BK322" s="201"/>
      <c r="BL322" s="201"/>
      <c r="BM322" s="201"/>
      <c r="BN322" s="201"/>
      <c r="BO322" s="201"/>
      <c r="BP322" s="201"/>
      <c r="BQ322" s="201"/>
      <c r="BR322" s="201"/>
      <c r="BS322" s="201"/>
      <c r="BT322" s="201"/>
      <c r="BU322" s="201"/>
      <c r="BV322" s="201"/>
      <c r="BW322" s="201"/>
    </row>
    <row r="323" spans="1:75" ht="25.5" hidden="1" x14ac:dyDescent="0.2">
      <c r="A323" s="6" t="s">
        <v>8</v>
      </c>
      <c r="B323" s="16" t="s">
        <v>154</v>
      </c>
      <c r="C323" s="6"/>
      <c r="D323" s="31"/>
      <c r="E323" s="31"/>
      <c r="F323" s="31"/>
      <c r="G323" s="31"/>
      <c r="H323" s="31"/>
      <c r="I323" s="41"/>
      <c r="J323" s="31"/>
      <c r="K323" s="31"/>
      <c r="L323" s="31"/>
      <c r="M323" s="31"/>
      <c r="N323" s="31"/>
      <c r="O323" s="192"/>
    </row>
    <row r="324" spans="1:75" hidden="1" x14ac:dyDescent="0.2">
      <c r="A324" s="6"/>
      <c r="B324" s="10" t="s">
        <v>91</v>
      </c>
      <c r="C324" s="6"/>
      <c r="D324" s="31"/>
      <c r="E324" s="31"/>
      <c r="F324" s="31"/>
      <c r="G324" s="31"/>
      <c r="H324" s="31"/>
      <c r="I324" s="41"/>
      <c r="J324" s="31"/>
      <c r="K324" s="31"/>
      <c r="L324" s="31"/>
      <c r="M324" s="31"/>
      <c r="N324" s="31"/>
      <c r="O324" s="192"/>
    </row>
    <row r="325" spans="1:75" hidden="1" x14ac:dyDescent="0.2">
      <c r="A325" s="6"/>
      <c r="B325" s="17" t="s">
        <v>92</v>
      </c>
      <c r="C325" s="6"/>
      <c r="D325" s="31"/>
      <c r="E325" s="31"/>
      <c r="F325" s="31"/>
      <c r="G325" s="31"/>
      <c r="H325" s="31"/>
      <c r="I325" s="41"/>
      <c r="J325" s="31"/>
      <c r="K325" s="31"/>
      <c r="L325" s="31"/>
      <c r="M325" s="31"/>
      <c r="N325" s="31"/>
      <c r="O325" s="192"/>
    </row>
    <row r="326" spans="1:75" ht="25.5" x14ac:dyDescent="0.2">
      <c r="A326" s="6" t="s">
        <v>10</v>
      </c>
      <c r="B326" s="15" t="s">
        <v>310</v>
      </c>
      <c r="C326" s="6"/>
      <c r="D326" s="31"/>
      <c r="E326" s="31"/>
      <c r="F326" s="31"/>
      <c r="G326" s="31"/>
      <c r="H326" s="31"/>
      <c r="I326" s="41"/>
      <c r="J326" s="31"/>
      <c r="K326" s="31"/>
      <c r="L326" s="31"/>
      <c r="M326" s="31"/>
      <c r="N326" s="31"/>
      <c r="O326" s="192"/>
    </row>
    <row r="327" spans="1:75" x14ac:dyDescent="0.2">
      <c r="A327" s="6"/>
      <c r="B327" s="10" t="s">
        <v>280</v>
      </c>
      <c r="C327" s="6">
        <v>248</v>
      </c>
      <c r="D327" s="31">
        <v>25796</v>
      </c>
      <c r="E327" s="31">
        <f>C327*D327</f>
        <v>6397408</v>
      </c>
      <c r="F327" s="31">
        <f t="shared" ref="F327:F329" si="147">ROUND((D327*10.47143%),0)</f>
        <v>2701</v>
      </c>
      <c r="G327" s="31">
        <f>ROUND((C327*F327),0)</f>
        <v>669848</v>
      </c>
      <c r="H327" s="31">
        <v>9188.07</v>
      </c>
      <c r="I327" s="41">
        <v>1.77</v>
      </c>
      <c r="J327" s="31">
        <f t="shared" ref="J327:J334" si="148">H327*I327</f>
        <v>16262.883899999999</v>
      </c>
      <c r="K327" s="31">
        <f>C327*J327+518.24+1602.47</f>
        <v>4035315.9172</v>
      </c>
      <c r="L327" s="31">
        <f t="shared" ref="L327:M329" si="149">D327+F327+J327</f>
        <v>44759.883900000001</v>
      </c>
      <c r="M327" s="31">
        <f t="shared" si="149"/>
        <v>11102571.917199999</v>
      </c>
      <c r="N327" s="31"/>
      <c r="O327" s="192">
        <f t="shared" ref="O327:O329" si="150">M327+N327</f>
        <v>11102571.917199999</v>
      </c>
    </row>
    <row r="328" spans="1:75" x14ac:dyDescent="0.2">
      <c r="A328" s="6"/>
      <c r="B328" s="103" t="s">
        <v>309</v>
      </c>
      <c r="C328" s="6">
        <v>0</v>
      </c>
      <c r="D328" s="31">
        <v>25796</v>
      </c>
      <c r="E328" s="31">
        <f>C328*D328</f>
        <v>0</v>
      </c>
      <c r="F328" s="31">
        <f t="shared" si="147"/>
        <v>2701</v>
      </c>
      <c r="G328" s="31">
        <f t="shared" ref="G328:G329" si="151">ROUND((C328*F328),0)</f>
        <v>0</v>
      </c>
      <c r="H328" s="31">
        <v>9188.07</v>
      </c>
      <c r="I328" s="41">
        <v>1.77</v>
      </c>
      <c r="J328" s="31">
        <f t="shared" si="148"/>
        <v>16262.883899999999</v>
      </c>
      <c r="K328" s="31">
        <f t="shared" ref="K328:K334" si="152">C328*J328</f>
        <v>0</v>
      </c>
      <c r="L328" s="31">
        <f t="shared" si="149"/>
        <v>44759.883900000001</v>
      </c>
      <c r="M328" s="31">
        <f t="shared" si="149"/>
        <v>0</v>
      </c>
      <c r="N328" s="31"/>
      <c r="O328" s="192">
        <f t="shared" si="150"/>
        <v>0</v>
      </c>
    </row>
    <row r="329" spans="1:75" x14ac:dyDescent="0.2">
      <c r="A329" s="6"/>
      <c r="B329" s="17" t="s">
        <v>311</v>
      </c>
      <c r="C329" s="6">
        <v>0</v>
      </c>
      <c r="D329" s="31">
        <v>139068</v>
      </c>
      <c r="E329" s="31">
        <f t="shared" ref="E329:E334" si="153">C329*D329</f>
        <v>0</v>
      </c>
      <c r="F329" s="31">
        <f t="shared" si="147"/>
        <v>14562</v>
      </c>
      <c r="G329" s="31">
        <f t="shared" si="151"/>
        <v>0</v>
      </c>
      <c r="H329" s="31">
        <v>9188.07</v>
      </c>
      <c r="I329" s="41">
        <v>1.77</v>
      </c>
      <c r="J329" s="31">
        <f t="shared" si="148"/>
        <v>16262.883899999999</v>
      </c>
      <c r="K329" s="31">
        <f t="shared" si="152"/>
        <v>0</v>
      </c>
      <c r="L329" s="31">
        <f t="shared" si="149"/>
        <v>169892.88389999999</v>
      </c>
      <c r="M329" s="31">
        <f t="shared" si="149"/>
        <v>0</v>
      </c>
      <c r="N329" s="31"/>
      <c r="O329" s="192">
        <f t="shared" si="150"/>
        <v>0</v>
      </c>
    </row>
    <row r="330" spans="1:75" hidden="1" x14ac:dyDescent="0.2">
      <c r="A330" s="6"/>
      <c r="B330" s="10" t="s">
        <v>156</v>
      </c>
      <c r="C330" s="6"/>
      <c r="D330" s="31"/>
      <c r="E330" s="31">
        <f t="shared" si="153"/>
        <v>0</v>
      </c>
      <c r="F330" s="31"/>
      <c r="G330" s="31"/>
      <c r="H330" s="31">
        <v>9188.07</v>
      </c>
      <c r="I330" s="41">
        <v>1.7705</v>
      </c>
      <c r="J330" s="31">
        <f t="shared" si="148"/>
        <v>16267.477934999999</v>
      </c>
      <c r="K330" s="31">
        <f t="shared" si="152"/>
        <v>0</v>
      </c>
      <c r="L330" s="31"/>
      <c r="M330" s="31"/>
      <c r="N330" s="31"/>
      <c r="O330" s="192"/>
    </row>
    <row r="331" spans="1:75" hidden="1" x14ac:dyDescent="0.2">
      <c r="A331" s="6"/>
      <c r="B331" s="17" t="s">
        <v>157</v>
      </c>
      <c r="C331" s="6"/>
      <c r="D331" s="31"/>
      <c r="E331" s="31">
        <f t="shared" si="153"/>
        <v>0</v>
      </c>
      <c r="F331" s="31"/>
      <c r="G331" s="31"/>
      <c r="H331" s="31">
        <v>9188.07</v>
      </c>
      <c r="I331" s="41">
        <v>1.7705</v>
      </c>
      <c r="J331" s="31">
        <f t="shared" si="148"/>
        <v>16267.477934999999</v>
      </c>
      <c r="K331" s="31">
        <f t="shared" si="152"/>
        <v>0</v>
      </c>
      <c r="L331" s="31"/>
      <c r="M331" s="31"/>
      <c r="N331" s="31"/>
      <c r="O331" s="192"/>
    </row>
    <row r="332" spans="1:75" ht="51" hidden="1" x14ac:dyDescent="0.2">
      <c r="A332" s="6" t="s">
        <v>12</v>
      </c>
      <c r="B332" s="14" t="s">
        <v>155</v>
      </c>
      <c r="C332" s="6"/>
      <c r="D332" s="31"/>
      <c r="E332" s="31">
        <f t="shared" si="153"/>
        <v>0</v>
      </c>
      <c r="F332" s="31"/>
      <c r="G332" s="31"/>
      <c r="H332" s="31">
        <v>9188.07</v>
      </c>
      <c r="I332" s="41">
        <v>1.7705</v>
      </c>
      <c r="J332" s="31">
        <f t="shared" si="148"/>
        <v>16267.477934999999</v>
      </c>
      <c r="K332" s="31">
        <f t="shared" si="152"/>
        <v>0</v>
      </c>
      <c r="L332" s="31"/>
      <c r="M332" s="31"/>
      <c r="N332" s="31"/>
      <c r="O332" s="192"/>
    </row>
    <row r="333" spans="1:75" hidden="1" x14ac:dyDescent="0.2">
      <c r="A333" s="6"/>
      <c r="B333" s="10" t="s">
        <v>91</v>
      </c>
      <c r="C333" s="6"/>
      <c r="D333" s="31"/>
      <c r="E333" s="31">
        <f t="shared" si="153"/>
        <v>0</v>
      </c>
      <c r="F333" s="31"/>
      <c r="G333" s="31"/>
      <c r="H333" s="31">
        <v>9188.07</v>
      </c>
      <c r="I333" s="41">
        <v>1.7705</v>
      </c>
      <c r="J333" s="31">
        <f t="shared" si="148"/>
        <v>16267.477934999999</v>
      </c>
      <c r="K333" s="31">
        <f t="shared" si="152"/>
        <v>0</v>
      </c>
      <c r="L333" s="31"/>
      <c r="M333" s="31"/>
      <c r="N333" s="31"/>
      <c r="O333" s="192"/>
    </row>
    <row r="334" spans="1:75" hidden="1" x14ac:dyDescent="0.2">
      <c r="A334" s="6"/>
      <c r="B334" s="7" t="s">
        <v>92</v>
      </c>
      <c r="C334" s="6"/>
      <c r="D334" s="31"/>
      <c r="E334" s="31">
        <f t="shared" si="153"/>
        <v>0</v>
      </c>
      <c r="F334" s="31"/>
      <c r="G334" s="31"/>
      <c r="H334" s="31">
        <v>9188.07</v>
      </c>
      <c r="I334" s="41">
        <v>1.7705</v>
      </c>
      <c r="J334" s="31">
        <f t="shared" si="148"/>
        <v>16267.477934999999</v>
      </c>
      <c r="K334" s="31">
        <f t="shared" si="152"/>
        <v>0</v>
      </c>
      <c r="L334" s="31"/>
      <c r="M334" s="31"/>
      <c r="N334" s="31"/>
      <c r="O334" s="192"/>
    </row>
    <row r="335" spans="1:75" ht="38.25" x14ac:dyDescent="0.2">
      <c r="A335" s="6" t="s">
        <v>53</v>
      </c>
      <c r="B335" s="14" t="s">
        <v>158</v>
      </c>
      <c r="C335" s="6"/>
      <c r="D335" s="31"/>
      <c r="E335" s="31"/>
      <c r="F335" s="31"/>
      <c r="G335" s="31"/>
      <c r="H335" s="31"/>
      <c r="I335" s="41"/>
      <c r="J335" s="31"/>
      <c r="K335" s="31"/>
      <c r="L335" s="31"/>
      <c r="M335" s="31"/>
      <c r="N335" s="31"/>
      <c r="O335" s="192"/>
    </row>
    <row r="336" spans="1:75" s="11" customFormat="1" x14ac:dyDescent="0.2">
      <c r="A336" s="4" t="s">
        <v>164</v>
      </c>
      <c r="B336" s="5" t="s">
        <v>159</v>
      </c>
      <c r="C336" s="4">
        <f>SUM(C347:C353)</f>
        <v>367</v>
      </c>
      <c r="D336" s="32"/>
      <c r="E336" s="32">
        <f>SUM(E347:E353)</f>
        <v>12626242</v>
      </c>
      <c r="F336" s="31"/>
      <c r="G336" s="32">
        <f>SUM(G347:G353)</f>
        <v>1322096</v>
      </c>
      <c r="H336" s="32"/>
      <c r="I336" s="47"/>
      <c r="J336" s="32"/>
      <c r="K336" s="32">
        <f>SUM(K347:K353)</f>
        <v>5968432.9199999999</v>
      </c>
      <c r="L336" s="32"/>
      <c r="M336" s="32">
        <f>SUM(M347:M353)</f>
        <v>19916770.920000002</v>
      </c>
      <c r="N336" s="32"/>
      <c r="O336" s="190">
        <f>SUM(O347:O353)</f>
        <v>19916770.920000002</v>
      </c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</row>
    <row r="337" spans="1:15" ht="25.5" hidden="1" x14ac:dyDescent="0.2">
      <c r="A337" s="6" t="s">
        <v>15</v>
      </c>
      <c r="B337" s="14" t="s">
        <v>160</v>
      </c>
      <c r="C337" s="6"/>
      <c r="D337" s="31"/>
      <c r="E337" s="31"/>
      <c r="F337" s="31"/>
      <c r="G337" s="31"/>
      <c r="H337" s="31"/>
      <c r="I337" s="41"/>
      <c r="J337" s="31"/>
      <c r="K337" s="31"/>
      <c r="L337" s="31"/>
      <c r="M337" s="31"/>
      <c r="N337" s="31"/>
      <c r="O337" s="192"/>
    </row>
    <row r="338" spans="1:15" hidden="1" x14ac:dyDescent="0.2">
      <c r="A338" s="6"/>
      <c r="B338" s="103" t="s">
        <v>91</v>
      </c>
      <c r="C338" s="6"/>
      <c r="D338" s="31"/>
      <c r="E338" s="31"/>
      <c r="F338" s="31"/>
      <c r="G338" s="31"/>
      <c r="H338" s="31"/>
      <c r="I338" s="41"/>
      <c r="J338" s="31"/>
      <c r="K338" s="31"/>
      <c r="L338" s="31"/>
      <c r="M338" s="31"/>
      <c r="N338" s="31"/>
      <c r="O338" s="192"/>
    </row>
    <row r="339" spans="1:15" hidden="1" x14ac:dyDescent="0.2">
      <c r="A339" s="6"/>
      <c r="B339" s="7" t="s">
        <v>92</v>
      </c>
      <c r="C339" s="6"/>
      <c r="D339" s="31"/>
      <c r="E339" s="31"/>
      <c r="F339" s="31"/>
      <c r="G339" s="31"/>
      <c r="H339" s="31"/>
      <c r="I339" s="41"/>
      <c r="J339" s="31"/>
      <c r="K339" s="31"/>
      <c r="L339" s="31"/>
      <c r="M339" s="31"/>
      <c r="N339" s="31"/>
      <c r="O339" s="192"/>
    </row>
    <row r="340" spans="1:15" hidden="1" x14ac:dyDescent="0.2">
      <c r="A340" s="6"/>
      <c r="B340" s="103" t="s">
        <v>156</v>
      </c>
      <c r="C340" s="6"/>
      <c r="D340" s="31"/>
      <c r="E340" s="31"/>
      <c r="F340" s="31"/>
      <c r="G340" s="31"/>
      <c r="H340" s="31"/>
      <c r="I340" s="41"/>
      <c r="J340" s="31"/>
      <c r="K340" s="31"/>
      <c r="L340" s="31"/>
      <c r="M340" s="31"/>
      <c r="N340" s="31"/>
      <c r="O340" s="192"/>
    </row>
    <row r="341" spans="1:15" hidden="1" x14ac:dyDescent="0.2">
      <c r="A341" s="6"/>
      <c r="B341" s="7" t="s">
        <v>157</v>
      </c>
      <c r="C341" s="6"/>
      <c r="D341" s="31"/>
      <c r="E341" s="31"/>
      <c r="F341" s="31"/>
      <c r="G341" s="31"/>
      <c r="H341" s="31"/>
      <c r="I341" s="41"/>
      <c r="J341" s="31"/>
      <c r="K341" s="31"/>
      <c r="L341" s="31"/>
      <c r="M341" s="31"/>
      <c r="N341" s="31"/>
      <c r="O341" s="192"/>
    </row>
    <row r="342" spans="1:15" ht="54" hidden="1" customHeight="1" x14ac:dyDescent="0.2">
      <c r="A342" s="6" t="s">
        <v>59</v>
      </c>
      <c r="B342" s="15" t="s">
        <v>161</v>
      </c>
      <c r="C342" s="6"/>
      <c r="D342" s="31"/>
      <c r="E342" s="31"/>
      <c r="F342" s="31"/>
      <c r="G342" s="31"/>
      <c r="H342" s="31"/>
      <c r="I342" s="41"/>
      <c r="J342" s="31"/>
      <c r="K342" s="31"/>
      <c r="L342" s="31"/>
      <c r="M342" s="31"/>
      <c r="N342" s="31"/>
      <c r="O342" s="192"/>
    </row>
    <row r="343" spans="1:15" hidden="1" x14ac:dyDescent="0.2">
      <c r="A343" s="6"/>
      <c r="B343" s="103" t="s">
        <v>91</v>
      </c>
      <c r="C343" s="6"/>
      <c r="D343" s="31"/>
      <c r="E343" s="31"/>
      <c r="F343" s="31"/>
      <c r="G343" s="31"/>
      <c r="H343" s="31"/>
      <c r="I343" s="41"/>
      <c r="J343" s="31"/>
      <c r="K343" s="31"/>
      <c r="L343" s="31"/>
      <c r="M343" s="31"/>
      <c r="N343" s="31"/>
      <c r="O343" s="192"/>
    </row>
    <row r="344" spans="1:15" hidden="1" x14ac:dyDescent="0.2">
      <c r="A344" s="6"/>
      <c r="B344" s="7" t="s">
        <v>92</v>
      </c>
      <c r="C344" s="6"/>
      <c r="D344" s="31"/>
      <c r="E344" s="31"/>
      <c r="F344" s="31"/>
      <c r="G344" s="31"/>
      <c r="H344" s="31"/>
      <c r="I344" s="41"/>
      <c r="J344" s="31"/>
      <c r="K344" s="31"/>
      <c r="L344" s="31"/>
      <c r="M344" s="31"/>
      <c r="N344" s="31"/>
      <c r="O344" s="192"/>
    </row>
    <row r="345" spans="1:15" hidden="1" x14ac:dyDescent="0.2">
      <c r="A345" s="6"/>
      <c r="B345" s="103" t="s">
        <v>156</v>
      </c>
      <c r="C345" s="6"/>
      <c r="D345" s="31"/>
      <c r="E345" s="31"/>
      <c r="F345" s="31"/>
      <c r="G345" s="31"/>
      <c r="H345" s="31"/>
      <c r="I345" s="41"/>
      <c r="J345" s="31"/>
      <c r="K345" s="31"/>
      <c r="L345" s="31"/>
      <c r="M345" s="31"/>
      <c r="N345" s="31"/>
      <c r="O345" s="192"/>
    </row>
    <row r="346" spans="1:15" hidden="1" x14ac:dyDescent="0.2">
      <c r="A346" s="6"/>
      <c r="B346" s="7" t="s">
        <v>157</v>
      </c>
      <c r="C346" s="6"/>
      <c r="D346" s="31"/>
      <c r="E346" s="31"/>
      <c r="F346" s="31"/>
      <c r="G346" s="31"/>
      <c r="H346" s="31"/>
      <c r="I346" s="41"/>
      <c r="J346" s="31"/>
      <c r="K346" s="31"/>
      <c r="L346" s="31"/>
      <c r="M346" s="31"/>
      <c r="N346" s="31"/>
      <c r="O346" s="192"/>
    </row>
    <row r="347" spans="1:15" ht="25.5" x14ac:dyDescent="0.2">
      <c r="A347" s="6" t="s">
        <v>60</v>
      </c>
      <c r="B347" s="15" t="s">
        <v>306</v>
      </c>
      <c r="C347" s="6"/>
      <c r="D347" s="31"/>
      <c r="E347" s="31"/>
      <c r="F347" s="31"/>
      <c r="G347" s="31"/>
      <c r="H347" s="31"/>
      <c r="I347" s="41"/>
      <c r="J347" s="31"/>
      <c r="K347" s="31"/>
      <c r="L347" s="31"/>
      <c r="M347" s="31"/>
      <c r="N347" s="31"/>
      <c r="O347" s="192"/>
    </row>
    <row r="348" spans="1:15" x14ac:dyDescent="0.2">
      <c r="A348" s="6"/>
      <c r="B348" s="10" t="s">
        <v>280</v>
      </c>
      <c r="C348" s="6">
        <v>117</v>
      </c>
      <c r="D348" s="31">
        <v>31306</v>
      </c>
      <c r="E348" s="31">
        <f t="shared" ref="E348" si="154">C348*D348</f>
        <v>3662802</v>
      </c>
      <c r="F348" s="31">
        <f t="shared" ref="F348:F353" si="155">ROUND((D348*10.47143%),0)</f>
        <v>3278</v>
      </c>
      <c r="G348" s="31">
        <f t="shared" ref="G348:G353" si="156">ROUND((C348*F348),0)</f>
        <v>383526</v>
      </c>
      <c r="H348" s="31">
        <v>9188</v>
      </c>
      <c r="I348" s="41">
        <v>1.77</v>
      </c>
      <c r="J348" s="31">
        <f t="shared" ref="J348:J353" si="157">H348*I348</f>
        <v>16262.76</v>
      </c>
      <c r="K348" s="31">
        <f t="shared" ref="K348:K353" si="158">C348*J348</f>
        <v>1902742.92</v>
      </c>
      <c r="L348" s="31">
        <f t="shared" ref="L348:M353" si="159">D348+F348+J348</f>
        <v>50846.76</v>
      </c>
      <c r="M348" s="31">
        <f t="shared" si="159"/>
        <v>5949070.9199999999</v>
      </c>
      <c r="N348" s="31"/>
      <c r="O348" s="192">
        <f t="shared" ref="O348:O353" si="160">M348+N348</f>
        <v>5949070.9199999999</v>
      </c>
    </row>
    <row r="349" spans="1:15" x14ac:dyDescent="0.2">
      <c r="A349" s="6"/>
      <c r="B349" s="103" t="s">
        <v>309</v>
      </c>
      <c r="C349" s="6">
        <v>145</v>
      </c>
      <c r="D349" s="31">
        <v>31306</v>
      </c>
      <c r="E349" s="31">
        <f>C349*D349</f>
        <v>4539370</v>
      </c>
      <c r="F349" s="31">
        <f t="shared" si="155"/>
        <v>3278</v>
      </c>
      <c r="G349" s="31">
        <f t="shared" si="156"/>
        <v>475310</v>
      </c>
      <c r="H349" s="31">
        <v>9188</v>
      </c>
      <c r="I349" s="41">
        <v>1.77</v>
      </c>
      <c r="J349" s="31">
        <f t="shared" si="157"/>
        <v>16262.76</v>
      </c>
      <c r="K349" s="31">
        <f t="shared" si="158"/>
        <v>2358100.2000000002</v>
      </c>
      <c r="L349" s="31">
        <f t="shared" si="159"/>
        <v>50846.76</v>
      </c>
      <c r="M349" s="31">
        <f t="shared" si="159"/>
        <v>7372780.2000000002</v>
      </c>
      <c r="N349" s="31"/>
      <c r="O349" s="192">
        <f t="shared" si="160"/>
        <v>7372780.2000000002</v>
      </c>
    </row>
    <row r="350" spans="1:15" hidden="1" x14ac:dyDescent="0.2">
      <c r="A350" s="6"/>
      <c r="B350" s="7" t="s">
        <v>92</v>
      </c>
      <c r="C350" s="6"/>
      <c r="D350" s="31">
        <v>173835</v>
      </c>
      <c r="E350" s="31">
        <f t="shared" ref="E350:E353" si="161">C350*D350</f>
        <v>0</v>
      </c>
      <c r="F350" s="31">
        <f t="shared" si="155"/>
        <v>18203</v>
      </c>
      <c r="G350" s="31">
        <f t="shared" si="156"/>
        <v>0</v>
      </c>
      <c r="H350" s="31">
        <v>8790.24</v>
      </c>
      <c r="I350" s="41">
        <v>1.77</v>
      </c>
      <c r="J350" s="31">
        <f t="shared" si="157"/>
        <v>15558.7248</v>
      </c>
      <c r="K350" s="31">
        <f t="shared" si="158"/>
        <v>0</v>
      </c>
      <c r="L350" s="31">
        <f t="shared" si="159"/>
        <v>207596.7248</v>
      </c>
      <c r="M350" s="31">
        <f t="shared" si="159"/>
        <v>0</v>
      </c>
      <c r="N350" s="31"/>
      <c r="O350" s="192">
        <f t="shared" si="160"/>
        <v>0</v>
      </c>
    </row>
    <row r="351" spans="1:15" hidden="1" x14ac:dyDescent="0.2">
      <c r="A351" s="6"/>
      <c r="B351" s="103" t="s">
        <v>156</v>
      </c>
      <c r="C351" s="6"/>
      <c r="D351" s="31"/>
      <c r="E351" s="31">
        <f t="shared" si="161"/>
        <v>0</v>
      </c>
      <c r="F351" s="31">
        <f t="shared" si="155"/>
        <v>0</v>
      </c>
      <c r="G351" s="31">
        <f t="shared" si="156"/>
        <v>0</v>
      </c>
      <c r="H351" s="31">
        <v>8790.24</v>
      </c>
      <c r="I351" s="41">
        <v>1.77</v>
      </c>
      <c r="J351" s="31">
        <f t="shared" si="157"/>
        <v>15558.7248</v>
      </c>
      <c r="K351" s="31">
        <f t="shared" si="158"/>
        <v>0</v>
      </c>
      <c r="L351" s="31">
        <f t="shared" si="159"/>
        <v>15558.7248</v>
      </c>
      <c r="M351" s="31">
        <f t="shared" si="159"/>
        <v>0</v>
      </c>
      <c r="N351" s="31"/>
      <c r="O351" s="192">
        <f t="shared" si="160"/>
        <v>0</v>
      </c>
    </row>
    <row r="352" spans="1:15" hidden="1" x14ac:dyDescent="0.2">
      <c r="A352" s="6"/>
      <c r="B352" s="7" t="s">
        <v>157</v>
      </c>
      <c r="C352" s="6"/>
      <c r="D352" s="31"/>
      <c r="E352" s="31">
        <f t="shared" si="161"/>
        <v>0</v>
      </c>
      <c r="F352" s="31">
        <f t="shared" si="155"/>
        <v>0</v>
      </c>
      <c r="G352" s="31">
        <f t="shared" si="156"/>
        <v>0</v>
      </c>
      <c r="H352" s="31">
        <v>8790.24</v>
      </c>
      <c r="I352" s="41">
        <v>1.77</v>
      </c>
      <c r="J352" s="31">
        <f t="shared" si="157"/>
        <v>15558.7248</v>
      </c>
      <c r="K352" s="31">
        <f t="shared" si="158"/>
        <v>0</v>
      </c>
      <c r="L352" s="31">
        <f t="shared" si="159"/>
        <v>15558.7248</v>
      </c>
      <c r="M352" s="31">
        <f t="shared" si="159"/>
        <v>0</v>
      </c>
      <c r="N352" s="31"/>
      <c r="O352" s="192">
        <f t="shared" si="160"/>
        <v>0</v>
      </c>
    </row>
    <row r="353" spans="1:75" ht="38.25" x14ac:dyDescent="0.2">
      <c r="A353" s="6" t="s">
        <v>61</v>
      </c>
      <c r="B353" s="103" t="s">
        <v>267</v>
      </c>
      <c r="C353" s="6">
        <v>105</v>
      </c>
      <c r="D353" s="31">
        <v>42134</v>
      </c>
      <c r="E353" s="31">
        <f t="shared" si="161"/>
        <v>4424070</v>
      </c>
      <c r="F353" s="31">
        <f t="shared" si="155"/>
        <v>4412</v>
      </c>
      <c r="G353" s="31">
        <f t="shared" si="156"/>
        <v>463260</v>
      </c>
      <c r="H353" s="31">
        <v>9188</v>
      </c>
      <c r="I353" s="41">
        <v>1.77</v>
      </c>
      <c r="J353" s="31">
        <f t="shared" si="157"/>
        <v>16262.76</v>
      </c>
      <c r="K353" s="31">
        <f t="shared" si="158"/>
        <v>1707589.8</v>
      </c>
      <c r="L353" s="31">
        <f t="shared" si="159"/>
        <v>62808.76</v>
      </c>
      <c r="M353" s="31">
        <f t="shared" si="159"/>
        <v>6594919.7999999998</v>
      </c>
      <c r="N353" s="31"/>
      <c r="O353" s="192">
        <f t="shared" si="160"/>
        <v>6594919.7999999998</v>
      </c>
    </row>
    <row r="354" spans="1:75" s="11" customFormat="1" x14ac:dyDescent="0.2">
      <c r="A354" s="4">
        <v>3</v>
      </c>
      <c r="B354" s="5" t="s">
        <v>165</v>
      </c>
      <c r="C354" s="4">
        <f>SUM(C361:C364)</f>
        <v>41</v>
      </c>
      <c r="D354" s="32"/>
      <c r="E354" s="32">
        <f>SUM(E361:E364)</f>
        <v>1723633</v>
      </c>
      <c r="F354" s="31"/>
      <c r="G354" s="32">
        <f>SUM(G361:G364)</f>
        <v>180501</v>
      </c>
      <c r="H354" s="32"/>
      <c r="I354" s="47"/>
      <c r="J354" s="32"/>
      <c r="K354" s="32">
        <f>SUM(K361:K364)</f>
        <v>666773.16</v>
      </c>
      <c r="L354" s="32"/>
      <c r="M354" s="32">
        <f>SUM(M361:M364)</f>
        <v>2570907.16</v>
      </c>
      <c r="N354" s="32"/>
      <c r="O354" s="190">
        <f>SUM(O361:O364)</f>
        <v>2570907.16</v>
      </c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  <c r="BI354" s="201"/>
      <c r="BJ354" s="201"/>
      <c r="BK354" s="201"/>
      <c r="BL354" s="201"/>
      <c r="BM354" s="201"/>
      <c r="BN354" s="201"/>
      <c r="BO354" s="201"/>
      <c r="BP354" s="201"/>
      <c r="BQ354" s="201"/>
      <c r="BR354" s="201"/>
      <c r="BS354" s="201"/>
      <c r="BT354" s="201"/>
      <c r="BU354" s="201"/>
      <c r="BV354" s="201"/>
      <c r="BW354" s="201"/>
    </row>
    <row r="355" spans="1:75" ht="25.5" hidden="1" x14ac:dyDescent="0.2">
      <c r="A355" s="6" t="s">
        <v>93</v>
      </c>
      <c r="B355" s="14" t="s">
        <v>166</v>
      </c>
      <c r="C355" s="6"/>
      <c r="D355" s="31"/>
      <c r="E355" s="31"/>
      <c r="F355" s="31"/>
      <c r="G355" s="31"/>
      <c r="H355" s="31"/>
      <c r="I355" s="41"/>
      <c r="J355" s="31"/>
      <c r="K355" s="31"/>
      <c r="L355" s="31"/>
      <c r="M355" s="31"/>
      <c r="N355" s="31"/>
      <c r="O355" s="192"/>
    </row>
    <row r="356" spans="1:75" hidden="1" x14ac:dyDescent="0.2">
      <c r="A356" s="6"/>
      <c r="B356" s="103" t="s">
        <v>156</v>
      </c>
      <c r="C356" s="6"/>
      <c r="D356" s="31"/>
      <c r="E356" s="31"/>
      <c r="F356" s="31"/>
      <c r="G356" s="31"/>
      <c r="H356" s="31"/>
      <c r="I356" s="41"/>
      <c r="J356" s="31"/>
      <c r="K356" s="31"/>
      <c r="L356" s="31"/>
      <c r="M356" s="31"/>
      <c r="N356" s="31"/>
      <c r="O356" s="192"/>
    </row>
    <row r="357" spans="1:75" hidden="1" x14ac:dyDescent="0.2">
      <c r="A357" s="6"/>
      <c r="B357" s="7" t="s">
        <v>157</v>
      </c>
      <c r="C357" s="6"/>
      <c r="D357" s="31"/>
      <c r="E357" s="31"/>
      <c r="F357" s="31"/>
      <c r="G357" s="31"/>
      <c r="H357" s="31"/>
      <c r="I357" s="41"/>
      <c r="J357" s="31"/>
      <c r="K357" s="31"/>
      <c r="L357" s="31"/>
      <c r="M357" s="31"/>
      <c r="N357" s="31"/>
      <c r="O357" s="192"/>
    </row>
    <row r="358" spans="1:75" ht="54" hidden="1" customHeight="1" x14ac:dyDescent="0.2">
      <c r="A358" s="6" t="s">
        <v>94</v>
      </c>
      <c r="B358" s="15" t="s">
        <v>167</v>
      </c>
      <c r="C358" s="6"/>
      <c r="D358" s="31"/>
      <c r="E358" s="31"/>
      <c r="F358" s="31"/>
      <c r="G358" s="31"/>
      <c r="H358" s="31"/>
      <c r="I358" s="41"/>
      <c r="J358" s="31"/>
      <c r="K358" s="31"/>
      <c r="L358" s="31"/>
      <c r="M358" s="31"/>
      <c r="N358" s="31"/>
      <c r="O358" s="192"/>
    </row>
    <row r="359" spans="1:75" hidden="1" x14ac:dyDescent="0.2">
      <c r="A359" s="6"/>
      <c r="B359" s="103" t="s">
        <v>156</v>
      </c>
      <c r="C359" s="6"/>
      <c r="D359" s="31"/>
      <c r="E359" s="31"/>
      <c r="F359" s="31"/>
      <c r="G359" s="31"/>
      <c r="H359" s="31"/>
      <c r="I359" s="41"/>
      <c r="J359" s="31"/>
      <c r="K359" s="31"/>
      <c r="L359" s="31"/>
      <c r="M359" s="31"/>
      <c r="N359" s="31"/>
      <c r="O359" s="192"/>
    </row>
    <row r="360" spans="1:75" hidden="1" x14ac:dyDescent="0.2">
      <c r="A360" s="6"/>
      <c r="B360" s="7" t="s">
        <v>157</v>
      </c>
      <c r="C360" s="6"/>
      <c r="D360" s="31"/>
      <c r="E360" s="31"/>
      <c r="F360" s="31"/>
      <c r="G360" s="31"/>
      <c r="H360" s="31"/>
      <c r="I360" s="41"/>
      <c r="J360" s="31"/>
      <c r="K360" s="31"/>
      <c r="L360" s="31"/>
      <c r="M360" s="31"/>
      <c r="N360" s="31"/>
      <c r="O360" s="192"/>
    </row>
    <row r="361" spans="1:75" ht="25.5" x14ac:dyDescent="0.2">
      <c r="A361" s="6" t="s">
        <v>95</v>
      </c>
      <c r="B361" s="15" t="s">
        <v>307</v>
      </c>
      <c r="C361" s="6"/>
      <c r="D361" s="31"/>
      <c r="E361" s="31"/>
      <c r="F361" s="31"/>
      <c r="G361" s="31"/>
      <c r="H361" s="31"/>
      <c r="I361" s="41"/>
      <c r="J361" s="31"/>
      <c r="K361" s="31"/>
      <c r="L361" s="31"/>
      <c r="M361" s="31"/>
      <c r="N361" s="31"/>
      <c r="O361" s="192"/>
    </row>
    <row r="362" spans="1:75" x14ac:dyDescent="0.2">
      <c r="A362" s="6"/>
      <c r="B362" s="10" t="s">
        <v>280</v>
      </c>
      <c r="C362" s="6">
        <v>16</v>
      </c>
      <c r="D362" s="31">
        <v>35438</v>
      </c>
      <c r="E362" s="31">
        <f t="shared" ref="E362:E364" si="162">C362*D362</f>
        <v>567008</v>
      </c>
      <c r="F362" s="31">
        <f t="shared" ref="F362:F364" si="163">ROUND((D362*10.47143%),0)</f>
        <v>3711</v>
      </c>
      <c r="G362" s="31">
        <f t="shared" ref="G362:G364" si="164">ROUND((C362*F362),0)</f>
        <v>59376</v>
      </c>
      <c r="H362" s="31">
        <v>9188</v>
      </c>
      <c r="I362" s="41">
        <v>1.77</v>
      </c>
      <c r="J362" s="31">
        <f t="shared" ref="J362:J364" si="165">H362*I362</f>
        <v>16262.76</v>
      </c>
      <c r="K362" s="31">
        <f t="shared" ref="K362:K364" si="166">C362*J362</f>
        <v>260204.16</v>
      </c>
      <c r="L362" s="31">
        <f t="shared" ref="L362:M364" si="167">D362+F362+J362</f>
        <v>55411.76</v>
      </c>
      <c r="M362" s="31">
        <f t="shared" si="167"/>
        <v>886588.16</v>
      </c>
      <c r="N362" s="31"/>
      <c r="O362" s="192">
        <f t="shared" ref="O362:O364" si="168">M362+N362</f>
        <v>886588.16</v>
      </c>
    </row>
    <row r="363" spans="1:75" ht="25.5" hidden="1" x14ac:dyDescent="0.2">
      <c r="A363" s="6"/>
      <c r="B363" s="7" t="s">
        <v>281</v>
      </c>
      <c r="C363" s="6"/>
      <c r="D363" s="31"/>
      <c r="E363" s="31">
        <f t="shared" si="162"/>
        <v>0</v>
      </c>
      <c r="F363" s="31">
        <f t="shared" si="163"/>
        <v>0</v>
      </c>
      <c r="G363" s="31">
        <f t="shared" si="164"/>
        <v>0</v>
      </c>
      <c r="H363" s="31">
        <v>8790.24</v>
      </c>
      <c r="I363" s="41">
        <v>1.77</v>
      </c>
      <c r="J363" s="31">
        <f t="shared" si="165"/>
        <v>15558.7248</v>
      </c>
      <c r="K363" s="31">
        <f t="shared" si="166"/>
        <v>0</v>
      </c>
      <c r="L363" s="31">
        <f t="shared" si="167"/>
        <v>15558.7248</v>
      </c>
      <c r="M363" s="31">
        <f t="shared" si="167"/>
        <v>0</v>
      </c>
      <c r="N363" s="31"/>
      <c r="O363" s="192">
        <f t="shared" si="168"/>
        <v>0</v>
      </c>
    </row>
    <row r="364" spans="1:75" ht="38.25" x14ac:dyDescent="0.2">
      <c r="A364" s="6" t="s">
        <v>169</v>
      </c>
      <c r="B364" s="103" t="s">
        <v>168</v>
      </c>
      <c r="C364" s="6">
        <v>25</v>
      </c>
      <c r="D364" s="31">
        <v>46265</v>
      </c>
      <c r="E364" s="31">
        <f t="shared" si="162"/>
        <v>1156625</v>
      </c>
      <c r="F364" s="31">
        <f t="shared" si="163"/>
        <v>4845</v>
      </c>
      <c r="G364" s="31">
        <f t="shared" si="164"/>
        <v>121125</v>
      </c>
      <c r="H364" s="31">
        <v>9188</v>
      </c>
      <c r="I364" s="41">
        <v>1.77</v>
      </c>
      <c r="J364" s="31">
        <f t="shared" si="165"/>
        <v>16262.76</v>
      </c>
      <c r="K364" s="31">
        <f t="shared" si="166"/>
        <v>406569</v>
      </c>
      <c r="L364" s="31">
        <f t="shared" si="167"/>
        <v>67372.759999999995</v>
      </c>
      <c r="M364" s="31">
        <f>E364+G364+K364</f>
        <v>1684319</v>
      </c>
      <c r="N364" s="31"/>
      <c r="O364" s="192">
        <f t="shared" si="168"/>
        <v>1684319</v>
      </c>
    </row>
    <row r="365" spans="1:75" s="19" customFormat="1" x14ac:dyDescent="0.2">
      <c r="B365" s="20" t="s">
        <v>191</v>
      </c>
      <c r="C365" s="88">
        <f>C322+C336+C354</f>
        <v>656</v>
      </c>
      <c r="D365" s="48"/>
      <c r="E365" s="48">
        <f>E322+E336+E354</f>
        <v>20747283</v>
      </c>
      <c r="F365" s="48"/>
      <c r="G365" s="48">
        <f>G322+G336+G354</f>
        <v>2172445</v>
      </c>
      <c r="H365" s="48"/>
      <c r="I365" s="143"/>
      <c r="J365" s="48"/>
      <c r="K365" s="48">
        <f>K322+K336+K354</f>
        <v>10670521.997200001</v>
      </c>
      <c r="L365" s="48"/>
      <c r="M365" s="48">
        <f>M322+M336+M354</f>
        <v>33590249.997199997</v>
      </c>
      <c r="N365" s="48">
        <v>410000</v>
      </c>
      <c r="O365" s="146">
        <f>M365+N365</f>
        <v>34000249.997199997</v>
      </c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  <c r="BP365" s="138"/>
      <c r="BQ365" s="138"/>
      <c r="BR365" s="138"/>
      <c r="BS365" s="138"/>
      <c r="BT365" s="138"/>
      <c r="BU365" s="138"/>
      <c r="BV365" s="138"/>
      <c r="BW365" s="138"/>
    </row>
    <row r="366" spans="1:75" s="11" customFormat="1" x14ac:dyDescent="0.2">
      <c r="A366" s="4" t="s">
        <v>6</v>
      </c>
      <c r="B366" s="18" t="s">
        <v>192</v>
      </c>
      <c r="C366" s="4">
        <f>SUM(C367:C370)</f>
        <v>456</v>
      </c>
      <c r="D366" s="32"/>
      <c r="E366" s="32">
        <f>SUM(E367:E370)</f>
        <v>13163944</v>
      </c>
      <c r="F366" s="32"/>
      <c r="G366" s="32">
        <f>SUM(G367:G370)</f>
        <v>1378380</v>
      </c>
      <c r="H366" s="32"/>
      <c r="I366" s="47"/>
      <c r="J366" s="32"/>
      <c r="K366" s="32">
        <f>SUM(K367:K370)</f>
        <v>6700156.3220000006</v>
      </c>
      <c r="L366" s="32"/>
      <c r="M366" s="32">
        <f>SUM(M367:M370)</f>
        <v>21242480.321999997</v>
      </c>
      <c r="N366" s="32"/>
      <c r="O366" s="190">
        <f>SUM(O367:O370)</f>
        <v>21242480.321999997</v>
      </c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  <c r="BN366" s="201"/>
      <c r="BO366" s="201"/>
      <c r="BP366" s="201"/>
      <c r="BQ366" s="201"/>
      <c r="BR366" s="201"/>
      <c r="BS366" s="201"/>
      <c r="BT366" s="201"/>
      <c r="BU366" s="201"/>
      <c r="BV366" s="201"/>
      <c r="BW366" s="201"/>
    </row>
    <row r="367" spans="1:75" ht="25.5" x14ac:dyDescent="0.2">
      <c r="A367" s="6" t="s">
        <v>8</v>
      </c>
      <c r="B367" s="16" t="s">
        <v>154</v>
      </c>
      <c r="C367" s="6"/>
      <c r="D367" s="31"/>
      <c r="E367" s="31"/>
      <c r="F367" s="31"/>
      <c r="G367" s="31"/>
      <c r="H367" s="31"/>
      <c r="I367" s="41"/>
      <c r="J367" s="31"/>
      <c r="K367" s="31"/>
      <c r="L367" s="31"/>
      <c r="M367" s="31"/>
      <c r="N367" s="31"/>
      <c r="O367" s="192"/>
    </row>
    <row r="368" spans="1:75" x14ac:dyDescent="0.2">
      <c r="A368" s="6"/>
      <c r="B368" s="10" t="s">
        <v>280</v>
      </c>
      <c r="C368" s="6">
        <v>193</v>
      </c>
      <c r="D368" s="31">
        <v>25796</v>
      </c>
      <c r="E368" s="31">
        <f>C368*D368</f>
        <v>4978628</v>
      </c>
      <c r="F368" s="31">
        <f t="shared" ref="F368:F370" si="169">ROUND((D368*10.47143%),0)</f>
        <v>2701</v>
      </c>
      <c r="G368" s="31">
        <f>ROUND((C368*F368),0)</f>
        <v>521293</v>
      </c>
      <c r="H368" s="31">
        <v>9188</v>
      </c>
      <c r="I368" s="41">
        <v>1.599</v>
      </c>
      <c r="J368" s="31">
        <f t="shared" ref="J368:J370" si="170">H368*I368</f>
        <v>14691.611999999999</v>
      </c>
      <c r="K368" s="31">
        <f>C368*J368+398.61+382.64</f>
        <v>2836262.3659999999</v>
      </c>
      <c r="L368" s="31">
        <f t="shared" ref="L368:M379" si="171">D368+F368+J368</f>
        <v>43188.612000000001</v>
      </c>
      <c r="M368" s="31">
        <f t="shared" si="171"/>
        <v>8336183.3660000004</v>
      </c>
      <c r="N368" s="31"/>
      <c r="O368" s="192">
        <f t="shared" ref="O368:O370" si="172">M368+N368</f>
        <v>8336183.3660000004</v>
      </c>
    </row>
    <row r="369" spans="1:75" x14ac:dyDescent="0.2">
      <c r="A369" s="6"/>
      <c r="B369" s="103" t="s">
        <v>309</v>
      </c>
      <c r="C369" s="6">
        <v>257</v>
      </c>
      <c r="D369" s="31">
        <v>28603</v>
      </c>
      <c r="E369" s="31">
        <f>C369*D369-63</f>
        <v>7350908</v>
      </c>
      <c r="F369" s="31">
        <f t="shared" si="169"/>
        <v>2995</v>
      </c>
      <c r="G369" s="31">
        <f t="shared" ref="G369:G370" si="173">ROUND((C369*F369),0)</f>
        <v>769715</v>
      </c>
      <c r="H369" s="31">
        <v>9188</v>
      </c>
      <c r="I369" s="41">
        <v>1.599</v>
      </c>
      <c r="J369" s="31">
        <f t="shared" si="170"/>
        <v>14691.611999999999</v>
      </c>
      <c r="K369" s="31">
        <f t="shared" ref="K369:K370" si="174">C369*J369</f>
        <v>3775744.284</v>
      </c>
      <c r="L369" s="31">
        <f t="shared" si="171"/>
        <v>46289.612000000001</v>
      </c>
      <c r="M369" s="31">
        <f t="shared" si="171"/>
        <v>11896367.284</v>
      </c>
      <c r="N369" s="31"/>
      <c r="O369" s="192">
        <f t="shared" si="172"/>
        <v>11896367.284</v>
      </c>
    </row>
    <row r="370" spans="1:75" ht="25.5" x14ac:dyDescent="0.2">
      <c r="A370" s="6"/>
      <c r="B370" s="7" t="s">
        <v>303</v>
      </c>
      <c r="C370" s="6">
        <v>6</v>
      </c>
      <c r="D370" s="31">
        <v>139068</v>
      </c>
      <c r="E370" s="31">
        <f>C370*D370</f>
        <v>834408</v>
      </c>
      <c r="F370" s="31">
        <f t="shared" si="169"/>
        <v>14562</v>
      </c>
      <c r="G370" s="31">
        <f t="shared" si="173"/>
        <v>87372</v>
      </c>
      <c r="H370" s="31">
        <v>9188</v>
      </c>
      <c r="I370" s="41">
        <v>1.599</v>
      </c>
      <c r="J370" s="31">
        <f t="shared" si="170"/>
        <v>14691.611999999999</v>
      </c>
      <c r="K370" s="31">
        <f t="shared" si="174"/>
        <v>88149.671999999991</v>
      </c>
      <c r="L370" s="31">
        <f t="shared" si="171"/>
        <v>168321.61199999999</v>
      </c>
      <c r="M370" s="31">
        <f t="shared" si="171"/>
        <v>1009929.672</v>
      </c>
      <c r="N370" s="31"/>
      <c r="O370" s="192">
        <f t="shared" si="172"/>
        <v>1009929.672</v>
      </c>
    </row>
    <row r="371" spans="1:75" ht="51" hidden="1" x14ac:dyDescent="0.2">
      <c r="A371" s="6" t="s">
        <v>10</v>
      </c>
      <c r="B371" s="15" t="s">
        <v>163</v>
      </c>
      <c r="C371" s="6"/>
      <c r="D371" s="31"/>
      <c r="E371" s="31"/>
      <c r="F371" s="31"/>
      <c r="G371" s="31"/>
      <c r="H371" s="31"/>
      <c r="I371" s="41">
        <v>1.5364</v>
      </c>
      <c r="J371" s="31"/>
      <c r="K371" s="31"/>
      <c r="L371" s="31">
        <f t="shared" si="171"/>
        <v>0</v>
      </c>
      <c r="M371" s="31">
        <f t="shared" si="171"/>
        <v>0</v>
      </c>
      <c r="N371" s="31"/>
      <c r="O371" s="192"/>
    </row>
    <row r="372" spans="1:75" hidden="1" x14ac:dyDescent="0.2">
      <c r="A372" s="6"/>
      <c r="B372" s="103" t="s">
        <v>91</v>
      </c>
      <c r="C372" s="6"/>
      <c r="D372" s="31"/>
      <c r="E372" s="31"/>
      <c r="F372" s="31"/>
      <c r="G372" s="31"/>
      <c r="H372" s="31"/>
      <c r="I372" s="41">
        <v>1.5364</v>
      </c>
      <c r="J372" s="31"/>
      <c r="K372" s="31"/>
      <c r="L372" s="31">
        <f t="shared" si="171"/>
        <v>0</v>
      </c>
      <c r="M372" s="31">
        <f t="shared" si="171"/>
        <v>0</v>
      </c>
      <c r="N372" s="31"/>
      <c r="O372" s="192"/>
    </row>
    <row r="373" spans="1:75" hidden="1" x14ac:dyDescent="0.2">
      <c r="A373" s="6"/>
      <c r="B373" s="7" t="s">
        <v>92</v>
      </c>
      <c r="C373" s="6"/>
      <c r="D373" s="31"/>
      <c r="E373" s="31"/>
      <c r="F373" s="31"/>
      <c r="G373" s="31"/>
      <c r="H373" s="31"/>
      <c r="I373" s="41">
        <v>1.5364</v>
      </c>
      <c r="J373" s="31"/>
      <c r="K373" s="31"/>
      <c r="L373" s="31">
        <f t="shared" si="171"/>
        <v>0</v>
      </c>
      <c r="M373" s="31">
        <f t="shared" si="171"/>
        <v>0</v>
      </c>
      <c r="N373" s="31"/>
      <c r="O373" s="192"/>
    </row>
    <row r="374" spans="1:75" hidden="1" x14ac:dyDescent="0.2">
      <c r="A374" s="6"/>
      <c r="B374" s="103" t="s">
        <v>156</v>
      </c>
      <c r="C374" s="6"/>
      <c r="D374" s="31"/>
      <c r="E374" s="31"/>
      <c r="F374" s="31"/>
      <c r="G374" s="31"/>
      <c r="H374" s="31"/>
      <c r="I374" s="41">
        <v>1.5364</v>
      </c>
      <c r="J374" s="31"/>
      <c r="K374" s="31"/>
      <c r="L374" s="31">
        <f t="shared" si="171"/>
        <v>0</v>
      </c>
      <c r="M374" s="31">
        <f t="shared" si="171"/>
        <v>0</v>
      </c>
      <c r="N374" s="31"/>
      <c r="O374" s="192"/>
    </row>
    <row r="375" spans="1:75" hidden="1" x14ac:dyDescent="0.2">
      <c r="A375" s="6"/>
      <c r="B375" s="7" t="s">
        <v>157</v>
      </c>
      <c r="C375" s="6"/>
      <c r="D375" s="31"/>
      <c r="E375" s="31"/>
      <c r="F375" s="31"/>
      <c r="G375" s="31"/>
      <c r="H375" s="31"/>
      <c r="I375" s="41">
        <v>1.5364</v>
      </c>
      <c r="J375" s="31"/>
      <c r="K375" s="31"/>
      <c r="L375" s="31">
        <f t="shared" si="171"/>
        <v>0</v>
      </c>
      <c r="M375" s="31">
        <f t="shared" si="171"/>
        <v>0</v>
      </c>
      <c r="N375" s="31"/>
      <c r="O375" s="192"/>
    </row>
    <row r="376" spans="1:75" ht="51" hidden="1" x14ac:dyDescent="0.2">
      <c r="A376" s="6" t="s">
        <v>12</v>
      </c>
      <c r="B376" s="14" t="s">
        <v>155</v>
      </c>
      <c r="C376" s="6"/>
      <c r="D376" s="31"/>
      <c r="E376" s="31"/>
      <c r="F376" s="31"/>
      <c r="G376" s="31"/>
      <c r="H376" s="31"/>
      <c r="I376" s="41">
        <v>1.5364</v>
      </c>
      <c r="J376" s="31"/>
      <c r="K376" s="31"/>
      <c r="L376" s="31">
        <f t="shared" si="171"/>
        <v>0</v>
      </c>
      <c r="M376" s="31">
        <f t="shared" si="171"/>
        <v>0</v>
      </c>
      <c r="N376" s="31"/>
      <c r="O376" s="192"/>
    </row>
    <row r="377" spans="1:75" hidden="1" x14ac:dyDescent="0.2">
      <c r="A377" s="6"/>
      <c r="B377" s="10" t="s">
        <v>91</v>
      </c>
      <c r="C377" s="6"/>
      <c r="D377" s="31"/>
      <c r="E377" s="31"/>
      <c r="F377" s="31"/>
      <c r="G377" s="31"/>
      <c r="H377" s="31"/>
      <c r="I377" s="41">
        <v>1.5364</v>
      </c>
      <c r="J377" s="31"/>
      <c r="K377" s="31"/>
      <c r="L377" s="31">
        <f t="shared" si="171"/>
        <v>0</v>
      </c>
      <c r="M377" s="31">
        <f t="shared" si="171"/>
        <v>0</v>
      </c>
      <c r="N377" s="31"/>
      <c r="O377" s="192"/>
    </row>
    <row r="378" spans="1:75" hidden="1" x14ac:dyDescent="0.2">
      <c r="A378" s="6"/>
      <c r="B378" s="7" t="s">
        <v>92</v>
      </c>
      <c r="C378" s="6"/>
      <c r="D378" s="31"/>
      <c r="E378" s="31"/>
      <c r="F378" s="31"/>
      <c r="G378" s="31"/>
      <c r="H378" s="31"/>
      <c r="I378" s="41">
        <v>1.5364</v>
      </c>
      <c r="J378" s="31"/>
      <c r="K378" s="31"/>
      <c r="L378" s="31">
        <f t="shared" si="171"/>
        <v>0</v>
      </c>
      <c r="M378" s="31">
        <f t="shared" si="171"/>
        <v>0</v>
      </c>
      <c r="N378" s="31"/>
      <c r="O378" s="192"/>
    </row>
    <row r="379" spans="1:75" ht="38.25" hidden="1" x14ac:dyDescent="0.2">
      <c r="A379" s="6" t="s">
        <v>53</v>
      </c>
      <c r="B379" s="14" t="s">
        <v>158</v>
      </c>
      <c r="C379" s="6"/>
      <c r="D379" s="31"/>
      <c r="E379" s="31"/>
      <c r="F379" s="31"/>
      <c r="G379" s="31"/>
      <c r="H379" s="31"/>
      <c r="I379" s="41">
        <v>1.5364</v>
      </c>
      <c r="J379" s="31"/>
      <c r="K379" s="31"/>
      <c r="L379" s="31">
        <f t="shared" si="171"/>
        <v>0</v>
      </c>
      <c r="M379" s="31">
        <f t="shared" si="171"/>
        <v>0</v>
      </c>
      <c r="N379" s="31"/>
      <c r="O379" s="192"/>
    </row>
    <row r="380" spans="1:75" s="11" customFormat="1" x14ac:dyDescent="0.2">
      <c r="A380" s="4" t="s">
        <v>164</v>
      </c>
      <c r="B380" s="5" t="s">
        <v>159</v>
      </c>
      <c r="C380" s="4">
        <f>SUM(C381:C396)</f>
        <v>509</v>
      </c>
      <c r="D380" s="32"/>
      <c r="E380" s="32">
        <f>SUM(E381:E396)</f>
        <v>16362341</v>
      </c>
      <c r="F380" s="31"/>
      <c r="G380" s="32">
        <f>SUM(G381:G396)</f>
        <v>1713277</v>
      </c>
      <c r="H380" s="32"/>
      <c r="I380" s="47"/>
      <c r="J380" s="31"/>
      <c r="K380" s="32">
        <f>SUM(K381:K396)</f>
        <v>7478030.5080000004</v>
      </c>
      <c r="L380" s="32"/>
      <c r="M380" s="32">
        <f>SUM(M381:M396)</f>
        <v>25553648.507999998</v>
      </c>
      <c r="N380" s="32"/>
      <c r="O380" s="190">
        <f>SUM(O381:O396)</f>
        <v>25553648.507999998</v>
      </c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  <c r="BI380" s="201"/>
      <c r="BJ380" s="201"/>
      <c r="BK380" s="201"/>
      <c r="BL380" s="201"/>
      <c r="BM380" s="201"/>
      <c r="BN380" s="201"/>
      <c r="BO380" s="201"/>
      <c r="BP380" s="201"/>
      <c r="BQ380" s="201"/>
      <c r="BR380" s="201"/>
      <c r="BS380" s="201"/>
      <c r="BT380" s="201"/>
      <c r="BU380" s="201"/>
      <c r="BV380" s="201"/>
      <c r="BW380" s="201"/>
    </row>
    <row r="381" spans="1:75" ht="25.5" x14ac:dyDescent="0.2">
      <c r="A381" s="6" t="s">
        <v>15</v>
      </c>
      <c r="B381" s="14" t="s">
        <v>160</v>
      </c>
      <c r="C381" s="6"/>
      <c r="D381" s="31"/>
      <c r="E381" s="31"/>
      <c r="F381" s="31"/>
      <c r="G381" s="31"/>
      <c r="H381" s="31"/>
      <c r="I381" s="41"/>
      <c r="J381" s="31"/>
      <c r="K381" s="31"/>
      <c r="L381" s="31"/>
      <c r="M381" s="31"/>
      <c r="N381" s="31"/>
      <c r="O381" s="192"/>
    </row>
    <row r="382" spans="1:75" x14ac:dyDescent="0.2">
      <c r="A382" s="6"/>
      <c r="B382" s="10" t="s">
        <v>280</v>
      </c>
      <c r="C382" s="6">
        <v>268</v>
      </c>
      <c r="D382" s="31">
        <v>31306</v>
      </c>
      <c r="E382" s="31">
        <f>C382*D382</f>
        <v>8390008</v>
      </c>
      <c r="F382" s="31">
        <f t="shared" ref="F382:F396" si="175">ROUND((D382*10.47143%),0)</f>
        <v>3278</v>
      </c>
      <c r="G382" s="31">
        <f t="shared" ref="G382:G396" si="176">ROUND((C382*F382),0)</f>
        <v>878504</v>
      </c>
      <c r="H382" s="31">
        <v>9188</v>
      </c>
      <c r="I382" s="41">
        <v>1.599</v>
      </c>
      <c r="J382" s="31">
        <f t="shared" ref="J382:J396" si="177">H382*I382</f>
        <v>14691.611999999999</v>
      </c>
      <c r="K382" s="31">
        <f t="shared" ref="K382:K396" si="178">C382*J382</f>
        <v>3937352.0159999998</v>
      </c>
      <c r="L382" s="31">
        <f t="shared" ref="L382:M396" si="179">D382+F382+J382</f>
        <v>49275.612000000001</v>
      </c>
      <c r="M382" s="31">
        <f t="shared" si="179"/>
        <v>13205864.015999999</v>
      </c>
      <c r="N382" s="31"/>
      <c r="O382" s="192">
        <f t="shared" ref="O382:O397" si="180">M382+N382</f>
        <v>13205864.015999999</v>
      </c>
    </row>
    <row r="383" spans="1:75" x14ac:dyDescent="0.2">
      <c r="A383" s="6"/>
      <c r="B383" s="103" t="s">
        <v>309</v>
      </c>
      <c r="C383" s="6">
        <v>238</v>
      </c>
      <c r="D383" s="31">
        <v>31306</v>
      </c>
      <c r="E383" s="31">
        <f>C383*D383</f>
        <v>7450828</v>
      </c>
      <c r="F383" s="31">
        <f t="shared" si="175"/>
        <v>3278</v>
      </c>
      <c r="G383" s="31">
        <f t="shared" si="176"/>
        <v>780164</v>
      </c>
      <c r="H383" s="31">
        <v>9188</v>
      </c>
      <c r="I383" s="41">
        <v>1.599</v>
      </c>
      <c r="J383" s="31">
        <f t="shared" si="177"/>
        <v>14691.611999999999</v>
      </c>
      <c r="K383" s="31">
        <f t="shared" si="178"/>
        <v>3496603.656</v>
      </c>
      <c r="L383" s="31">
        <f t="shared" si="179"/>
        <v>49275.612000000001</v>
      </c>
      <c r="M383" s="31">
        <f t="shared" si="179"/>
        <v>11727595.655999999</v>
      </c>
      <c r="N383" s="31"/>
      <c r="O383" s="192">
        <f t="shared" si="180"/>
        <v>11727595.655999999</v>
      </c>
    </row>
    <row r="384" spans="1:75" hidden="1" x14ac:dyDescent="0.2">
      <c r="A384" s="6"/>
      <c r="B384" s="7" t="s">
        <v>92</v>
      </c>
      <c r="C384" s="6"/>
      <c r="D384" s="31"/>
      <c r="E384" s="31">
        <f t="shared" ref="E384:E396" si="181">C384*D384</f>
        <v>0</v>
      </c>
      <c r="F384" s="31">
        <f t="shared" si="175"/>
        <v>0</v>
      </c>
      <c r="G384" s="31">
        <f t="shared" si="176"/>
        <v>0</v>
      </c>
      <c r="H384" s="31">
        <v>9188</v>
      </c>
      <c r="I384" s="41">
        <v>1.599</v>
      </c>
      <c r="J384" s="31">
        <f t="shared" si="177"/>
        <v>14691.611999999999</v>
      </c>
      <c r="K384" s="31">
        <f t="shared" si="178"/>
        <v>0</v>
      </c>
      <c r="L384" s="31">
        <f t="shared" si="179"/>
        <v>14691.611999999999</v>
      </c>
      <c r="M384" s="31">
        <f t="shared" si="179"/>
        <v>0</v>
      </c>
      <c r="N384" s="31"/>
      <c r="O384" s="192">
        <f t="shared" si="180"/>
        <v>0</v>
      </c>
    </row>
    <row r="385" spans="1:75" hidden="1" x14ac:dyDescent="0.2">
      <c r="A385" s="6"/>
      <c r="B385" s="103" t="s">
        <v>156</v>
      </c>
      <c r="C385" s="6"/>
      <c r="D385" s="31"/>
      <c r="E385" s="31">
        <f t="shared" si="181"/>
        <v>0</v>
      </c>
      <c r="F385" s="31">
        <f t="shared" si="175"/>
        <v>0</v>
      </c>
      <c r="G385" s="31">
        <f t="shared" si="176"/>
        <v>0</v>
      </c>
      <c r="H385" s="31">
        <v>9188</v>
      </c>
      <c r="I385" s="41">
        <v>1.599</v>
      </c>
      <c r="J385" s="31">
        <f t="shared" si="177"/>
        <v>14691.611999999999</v>
      </c>
      <c r="K385" s="31">
        <f t="shared" si="178"/>
        <v>0</v>
      </c>
      <c r="L385" s="31">
        <f t="shared" si="179"/>
        <v>14691.611999999999</v>
      </c>
      <c r="M385" s="31">
        <f t="shared" si="179"/>
        <v>0</v>
      </c>
      <c r="N385" s="31"/>
      <c r="O385" s="192">
        <f t="shared" si="180"/>
        <v>0</v>
      </c>
    </row>
    <row r="386" spans="1:75" hidden="1" x14ac:dyDescent="0.2">
      <c r="A386" s="6"/>
      <c r="B386" s="7" t="s">
        <v>157</v>
      </c>
      <c r="C386" s="6"/>
      <c r="D386" s="31"/>
      <c r="E386" s="31">
        <f t="shared" si="181"/>
        <v>0</v>
      </c>
      <c r="F386" s="31">
        <f t="shared" si="175"/>
        <v>0</v>
      </c>
      <c r="G386" s="31">
        <f t="shared" si="176"/>
        <v>0</v>
      </c>
      <c r="H386" s="31">
        <v>9188</v>
      </c>
      <c r="I386" s="41">
        <v>1.599</v>
      </c>
      <c r="J386" s="31">
        <f t="shared" si="177"/>
        <v>14691.611999999999</v>
      </c>
      <c r="K386" s="31">
        <f t="shared" si="178"/>
        <v>0</v>
      </c>
      <c r="L386" s="31">
        <f t="shared" si="179"/>
        <v>14691.611999999999</v>
      </c>
      <c r="M386" s="31">
        <f t="shared" si="179"/>
        <v>0</v>
      </c>
      <c r="N386" s="31"/>
      <c r="O386" s="192">
        <f t="shared" si="180"/>
        <v>0</v>
      </c>
    </row>
    <row r="387" spans="1:75" ht="54" hidden="1" customHeight="1" x14ac:dyDescent="0.2">
      <c r="A387" s="6" t="s">
        <v>59</v>
      </c>
      <c r="B387" s="15" t="s">
        <v>161</v>
      </c>
      <c r="C387" s="6"/>
      <c r="D387" s="31"/>
      <c r="E387" s="31">
        <f t="shared" si="181"/>
        <v>0</v>
      </c>
      <c r="F387" s="31">
        <f t="shared" si="175"/>
        <v>0</v>
      </c>
      <c r="G387" s="31">
        <f t="shared" si="176"/>
        <v>0</v>
      </c>
      <c r="H387" s="31">
        <v>9188</v>
      </c>
      <c r="I387" s="41">
        <v>1.599</v>
      </c>
      <c r="J387" s="31">
        <f t="shared" si="177"/>
        <v>14691.611999999999</v>
      </c>
      <c r="K387" s="31">
        <f t="shared" si="178"/>
        <v>0</v>
      </c>
      <c r="L387" s="31">
        <f t="shared" si="179"/>
        <v>14691.611999999999</v>
      </c>
      <c r="M387" s="31">
        <f t="shared" si="179"/>
        <v>0</v>
      </c>
      <c r="N387" s="31"/>
      <c r="O387" s="192">
        <f t="shared" si="180"/>
        <v>0</v>
      </c>
    </row>
    <row r="388" spans="1:75" hidden="1" x14ac:dyDescent="0.2">
      <c r="A388" s="6"/>
      <c r="B388" s="103" t="s">
        <v>91</v>
      </c>
      <c r="C388" s="6"/>
      <c r="D388" s="31"/>
      <c r="E388" s="31">
        <f t="shared" si="181"/>
        <v>0</v>
      </c>
      <c r="F388" s="31">
        <f t="shared" si="175"/>
        <v>0</v>
      </c>
      <c r="G388" s="31">
        <f t="shared" si="176"/>
        <v>0</v>
      </c>
      <c r="H388" s="31">
        <v>9188</v>
      </c>
      <c r="I388" s="41">
        <v>1.599</v>
      </c>
      <c r="J388" s="31">
        <f t="shared" si="177"/>
        <v>14691.611999999999</v>
      </c>
      <c r="K388" s="31">
        <f t="shared" si="178"/>
        <v>0</v>
      </c>
      <c r="L388" s="31">
        <f t="shared" si="179"/>
        <v>14691.611999999999</v>
      </c>
      <c r="M388" s="31">
        <f t="shared" si="179"/>
        <v>0</v>
      </c>
      <c r="N388" s="31"/>
      <c r="O388" s="192">
        <f t="shared" si="180"/>
        <v>0</v>
      </c>
    </row>
    <row r="389" spans="1:75" hidden="1" x14ac:dyDescent="0.2">
      <c r="A389" s="6"/>
      <c r="B389" s="7" t="s">
        <v>92</v>
      </c>
      <c r="C389" s="6"/>
      <c r="D389" s="31"/>
      <c r="E389" s="31">
        <f t="shared" si="181"/>
        <v>0</v>
      </c>
      <c r="F389" s="31">
        <f t="shared" si="175"/>
        <v>0</v>
      </c>
      <c r="G389" s="31">
        <f t="shared" si="176"/>
        <v>0</v>
      </c>
      <c r="H389" s="31">
        <v>9188</v>
      </c>
      <c r="I389" s="41">
        <v>1.599</v>
      </c>
      <c r="J389" s="31">
        <f t="shared" si="177"/>
        <v>14691.611999999999</v>
      </c>
      <c r="K389" s="31">
        <f t="shared" si="178"/>
        <v>0</v>
      </c>
      <c r="L389" s="31">
        <f t="shared" si="179"/>
        <v>14691.611999999999</v>
      </c>
      <c r="M389" s="31">
        <f t="shared" si="179"/>
        <v>0</v>
      </c>
      <c r="N389" s="31"/>
      <c r="O389" s="192">
        <f t="shared" si="180"/>
        <v>0</v>
      </c>
    </row>
    <row r="390" spans="1:75" hidden="1" x14ac:dyDescent="0.2">
      <c r="A390" s="6"/>
      <c r="B390" s="103" t="s">
        <v>156</v>
      </c>
      <c r="C390" s="6"/>
      <c r="D390" s="31"/>
      <c r="E390" s="31">
        <f t="shared" si="181"/>
        <v>0</v>
      </c>
      <c r="F390" s="31">
        <f t="shared" si="175"/>
        <v>0</v>
      </c>
      <c r="G390" s="31">
        <f t="shared" si="176"/>
        <v>0</v>
      </c>
      <c r="H390" s="31">
        <v>9188</v>
      </c>
      <c r="I390" s="41">
        <v>1.599</v>
      </c>
      <c r="J390" s="31">
        <f t="shared" si="177"/>
        <v>14691.611999999999</v>
      </c>
      <c r="K390" s="31">
        <f t="shared" si="178"/>
        <v>0</v>
      </c>
      <c r="L390" s="31">
        <f t="shared" si="179"/>
        <v>14691.611999999999</v>
      </c>
      <c r="M390" s="31">
        <f t="shared" si="179"/>
        <v>0</v>
      </c>
      <c r="N390" s="31"/>
      <c r="O390" s="192">
        <f t="shared" si="180"/>
        <v>0</v>
      </c>
    </row>
    <row r="391" spans="1:75" hidden="1" x14ac:dyDescent="0.2">
      <c r="A391" s="6"/>
      <c r="B391" s="7" t="s">
        <v>157</v>
      </c>
      <c r="C391" s="6"/>
      <c r="D391" s="31"/>
      <c r="E391" s="31">
        <f t="shared" si="181"/>
        <v>0</v>
      </c>
      <c r="F391" s="31">
        <f t="shared" si="175"/>
        <v>0</v>
      </c>
      <c r="G391" s="31">
        <f t="shared" si="176"/>
        <v>0</v>
      </c>
      <c r="H391" s="31">
        <v>9188</v>
      </c>
      <c r="I391" s="41">
        <v>1.599</v>
      </c>
      <c r="J391" s="31">
        <f t="shared" si="177"/>
        <v>14691.611999999999</v>
      </c>
      <c r="K391" s="31">
        <f t="shared" si="178"/>
        <v>0</v>
      </c>
      <c r="L391" s="31">
        <f t="shared" si="179"/>
        <v>14691.611999999999</v>
      </c>
      <c r="M391" s="31">
        <f t="shared" si="179"/>
        <v>0</v>
      </c>
      <c r="N391" s="31"/>
      <c r="O391" s="192">
        <f t="shared" si="180"/>
        <v>0</v>
      </c>
    </row>
    <row r="392" spans="1:75" ht="51" hidden="1" x14ac:dyDescent="0.2">
      <c r="A392" s="6" t="s">
        <v>60</v>
      </c>
      <c r="B392" s="15" t="s">
        <v>163</v>
      </c>
      <c r="C392" s="6"/>
      <c r="D392" s="31"/>
      <c r="E392" s="31">
        <f t="shared" si="181"/>
        <v>0</v>
      </c>
      <c r="F392" s="31">
        <f t="shared" si="175"/>
        <v>0</v>
      </c>
      <c r="G392" s="31">
        <f t="shared" si="176"/>
        <v>0</v>
      </c>
      <c r="H392" s="31">
        <v>9188</v>
      </c>
      <c r="I392" s="41">
        <v>1.599</v>
      </c>
      <c r="J392" s="31">
        <f t="shared" si="177"/>
        <v>14691.611999999999</v>
      </c>
      <c r="K392" s="31">
        <f t="shared" si="178"/>
        <v>0</v>
      </c>
      <c r="L392" s="31">
        <f t="shared" si="179"/>
        <v>14691.611999999999</v>
      </c>
      <c r="M392" s="31">
        <f t="shared" si="179"/>
        <v>0</v>
      </c>
      <c r="N392" s="31"/>
      <c r="O392" s="192">
        <f t="shared" si="180"/>
        <v>0</v>
      </c>
    </row>
    <row r="393" spans="1:75" hidden="1" x14ac:dyDescent="0.2">
      <c r="A393" s="6"/>
      <c r="B393" s="103" t="s">
        <v>91</v>
      </c>
      <c r="C393" s="6"/>
      <c r="D393" s="31"/>
      <c r="E393" s="31">
        <f t="shared" si="181"/>
        <v>0</v>
      </c>
      <c r="F393" s="31">
        <f t="shared" si="175"/>
        <v>0</v>
      </c>
      <c r="G393" s="31">
        <f t="shared" si="176"/>
        <v>0</v>
      </c>
      <c r="H393" s="31">
        <v>9188</v>
      </c>
      <c r="I393" s="41">
        <v>1.599</v>
      </c>
      <c r="J393" s="31">
        <f t="shared" si="177"/>
        <v>14691.611999999999</v>
      </c>
      <c r="K393" s="31">
        <f t="shared" si="178"/>
        <v>0</v>
      </c>
      <c r="L393" s="31">
        <f t="shared" si="179"/>
        <v>14691.611999999999</v>
      </c>
      <c r="M393" s="31">
        <f t="shared" si="179"/>
        <v>0</v>
      </c>
      <c r="N393" s="31"/>
      <c r="O393" s="192">
        <f t="shared" si="180"/>
        <v>0</v>
      </c>
    </row>
    <row r="394" spans="1:75" hidden="1" x14ac:dyDescent="0.2">
      <c r="A394" s="6"/>
      <c r="B394" s="7" t="s">
        <v>92</v>
      </c>
      <c r="C394" s="6"/>
      <c r="D394" s="31"/>
      <c r="E394" s="31">
        <f t="shared" si="181"/>
        <v>0</v>
      </c>
      <c r="F394" s="31">
        <f t="shared" si="175"/>
        <v>0</v>
      </c>
      <c r="G394" s="31">
        <f t="shared" si="176"/>
        <v>0</v>
      </c>
      <c r="H394" s="31">
        <v>9188</v>
      </c>
      <c r="I394" s="41">
        <v>1.599</v>
      </c>
      <c r="J394" s="31">
        <f t="shared" si="177"/>
        <v>14691.611999999999</v>
      </c>
      <c r="K394" s="31">
        <f t="shared" si="178"/>
        <v>0</v>
      </c>
      <c r="L394" s="31">
        <f t="shared" si="179"/>
        <v>14691.611999999999</v>
      </c>
      <c r="M394" s="31">
        <f t="shared" si="179"/>
        <v>0</v>
      </c>
      <c r="N394" s="31"/>
      <c r="O394" s="192">
        <f t="shared" si="180"/>
        <v>0</v>
      </c>
    </row>
    <row r="395" spans="1:75" hidden="1" x14ac:dyDescent="0.2">
      <c r="A395" s="6"/>
      <c r="B395" s="10" t="s">
        <v>280</v>
      </c>
      <c r="C395" s="6"/>
      <c r="D395" s="31"/>
      <c r="E395" s="31">
        <f t="shared" si="181"/>
        <v>0</v>
      </c>
      <c r="F395" s="31">
        <f t="shared" si="175"/>
        <v>0</v>
      </c>
      <c r="G395" s="31">
        <f t="shared" si="176"/>
        <v>0</v>
      </c>
      <c r="H395" s="31">
        <v>9188</v>
      </c>
      <c r="I395" s="41">
        <v>1.599</v>
      </c>
      <c r="J395" s="31">
        <f t="shared" si="177"/>
        <v>14691.611999999999</v>
      </c>
      <c r="K395" s="31">
        <f t="shared" si="178"/>
        <v>0</v>
      </c>
      <c r="L395" s="31">
        <f t="shared" si="179"/>
        <v>14691.611999999999</v>
      </c>
      <c r="M395" s="31">
        <f t="shared" si="179"/>
        <v>0</v>
      </c>
      <c r="N395" s="31"/>
      <c r="O395" s="192">
        <f t="shared" si="180"/>
        <v>0</v>
      </c>
    </row>
    <row r="396" spans="1:75" ht="25.5" x14ac:dyDescent="0.2">
      <c r="A396" s="6"/>
      <c r="B396" s="7" t="s">
        <v>303</v>
      </c>
      <c r="C396" s="6">
        <v>3</v>
      </c>
      <c r="D396" s="31">
        <v>173835</v>
      </c>
      <c r="E396" s="31">
        <f t="shared" si="181"/>
        <v>521505</v>
      </c>
      <c r="F396" s="31">
        <f t="shared" si="175"/>
        <v>18203</v>
      </c>
      <c r="G396" s="31">
        <f t="shared" si="176"/>
        <v>54609</v>
      </c>
      <c r="H396" s="31">
        <v>9188</v>
      </c>
      <c r="I396" s="41">
        <v>1.599</v>
      </c>
      <c r="J396" s="31">
        <f t="shared" si="177"/>
        <v>14691.611999999999</v>
      </c>
      <c r="K396" s="31">
        <f t="shared" si="178"/>
        <v>44074.835999999996</v>
      </c>
      <c r="L396" s="31">
        <f t="shared" si="179"/>
        <v>206729.61199999999</v>
      </c>
      <c r="M396" s="31">
        <f t="shared" si="179"/>
        <v>620188.83600000001</v>
      </c>
      <c r="N396" s="31"/>
      <c r="O396" s="192">
        <f t="shared" si="180"/>
        <v>620188.83600000001</v>
      </c>
    </row>
    <row r="397" spans="1:75" ht="38.25" hidden="1" x14ac:dyDescent="0.2">
      <c r="A397" s="6" t="s">
        <v>61</v>
      </c>
      <c r="B397" s="103" t="s">
        <v>162</v>
      </c>
      <c r="C397" s="6"/>
      <c r="D397" s="31"/>
      <c r="E397" s="31"/>
      <c r="F397" s="31"/>
      <c r="G397" s="31"/>
      <c r="H397" s="31"/>
      <c r="I397" s="41"/>
      <c r="J397" s="31"/>
      <c r="K397" s="31"/>
      <c r="L397" s="31"/>
      <c r="M397" s="31"/>
      <c r="N397" s="31"/>
      <c r="O397" s="192">
        <f t="shared" si="180"/>
        <v>0</v>
      </c>
    </row>
    <row r="398" spans="1:75" s="11" customFormat="1" x14ac:dyDescent="0.2">
      <c r="A398" s="4">
        <v>3</v>
      </c>
      <c r="B398" s="5" t="s">
        <v>165</v>
      </c>
      <c r="C398" s="4">
        <f>SUM(C405:C407)</f>
        <v>64</v>
      </c>
      <c r="D398" s="32"/>
      <c r="E398" s="32">
        <f>SUM(E405:E407)</f>
        <v>2486912</v>
      </c>
      <c r="F398" s="31"/>
      <c r="G398" s="32">
        <f>SUM(G405:G407)</f>
        <v>260416</v>
      </c>
      <c r="H398" s="32"/>
      <c r="I398" s="47"/>
      <c r="J398" s="31"/>
      <c r="K398" s="32">
        <f>SUM(K405:K407)</f>
        <v>940263.16799999995</v>
      </c>
      <c r="L398" s="32"/>
      <c r="M398" s="32">
        <f>SUM(M405:M407)</f>
        <v>3687591.1680000001</v>
      </c>
      <c r="N398" s="32"/>
      <c r="O398" s="190">
        <f>SUM(O405:O407)</f>
        <v>3687591.1680000001</v>
      </c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201"/>
      <c r="BT398" s="201"/>
      <c r="BU398" s="201"/>
      <c r="BV398" s="201"/>
      <c r="BW398" s="201"/>
    </row>
    <row r="399" spans="1:75" ht="25.5" hidden="1" x14ac:dyDescent="0.2">
      <c r="A399" s="6" t="s">
        <v>93</v>
      </c>
      <c r="B399" s="14" t="s">
        <v>166</v>
      </c>
      <c r="C399" s="6"/>
      <c r="D399" s="31"/>
      <c r="E399" s="31"/>
      <c r="F399" s="31"/>
      <c r="G399" s="31"/>
      <c r="H399" s="31"/>
      <c r="I399" s="41"/>
      <c r="J399" s="31"/>
      <c r="K399" s="31"/>
      <c r="L399" s="31"/>
      <c r="M399" s="31"/>
      <c r="N399" s="31"/>
      <c r="O399" s="192"/>
    </row>
    <row r="400" spans="1:75" hidden="1" x14ac:dyDescent="0.2">
      <c r="A400" s="6"/>
      <c r="B400" s="103" t="s">
        <v>156</v>
      </c>
      <c r="C400" s="6"/>
      <c r="D400" s="31"/>
      <c r="E400" s="31"/>
      <c r="F400" s="31"/>
      <c r="G400" s="31"/>
      <c r="H400" s="31"/>
      <c r="I400" s="41"/>
      <c r="J400" s="31"/>
      <c r="K400" s="31"/>
      <c r="L400" s="31"/>
      <c r="M400" s="31"/>
      <c r="N400" s="31"/>
      <c r="O400" s="192"/>
    </row>
    <row r="401" spans="1:76" hidden="1" x14ac:dyDescent="0.2">
      <c r="A401" s="6"/>
      <c r="B401" s="7" t="s">
        <v>157</v>
      </c>
      <c r="C401" s="6"/>
      <c r="D401" s="31"/>
      <c r="E401" s="31"/>
      <c r="F401" s="31"/>
      <c r="G401" s="31"/>
      <c r="H401" s="31"/>
      <c r="I401" s="41"/>
      <c r="J401" s="31"/>
      <c r="K401" s="31"/>
      <c r="L401" s="31"/>
      <c r="M401" s="31"/>
      <c r="N401" s="31"/>
      <c r="O401" s="192"/>
    </row>
    <row r="402" spans="1:76" ht="54" hidden="1" customHeight="1" x14ac:dyDescent="0.2">
      <c r="A402" s="6" t="s">
        <v>94</v>
      </c>
      <c r="B402" s="15" t="s">
        <v>167</v>
      </c>
      <c r="C402" s="6"/>
      <c r="D402" s="31"/>
      <c r="E402" s="31"/>
      <c r="F402" s="31"/>
      <c r="G402" s="31"/>
      <c r="H402" s="31"/>
      <c r="I402" s="41"/>
      <c r="J402" s="31"/>
      <c r="K402" s="31"/>
      <c r="L402" s="31"/>
      <c r="M402" s="31"/>
      <c r="N402" s="31"/>
      <c r="O402" s="192"/>
    </row>
    <row r="403" spans="1:76" hidden="1" x14ac:dyDescent="0.2">
      <c r="A403" s="6"/>
      <c r="B403" s="103" t="s">
        <v>156</v>
      </c>
      <c r="C403" s="6"/>
      <c r="D403" s="31"/>
      <c r="E403" s="31"/>
      <c r="F403" s="31"/>
      <c r="G403" s="31"/>
      <c r="H403" s="31"/>
      <c r="I403" s="41"/>
      <c r="J403" s="31"/>
      <c r="K403" s="31"/>
      <c r="L403" s="31"/>
      <c r="M403" s="31"/>
      <c r="N403" s="31"/>
      <c r="O403" s="192"/>
    </row>
    <row r="404" spans="1:76" hidden="1" x14ac:dyDescent="0.2">
      <c r="A404" s="6"/>
      <c r="B404" s="7" t="s">
        <v>157</v>
      </c>
      <c r="C404" s="6"/>
      <c r="D404" s="31"/>
      <c r="E404" s="31"/>
      <c r="F404" s="31"/>
      <c r="G404" s="31"/>
      <c r="H404" s="31"/>
      <c r="I404" s="41"/>
      <c r="J404" s="31"/>
      <c r="K404" s="31"/>
      <c r="L404" s="31"/>
      <c r="M404" s="31"/>
      <c r="N404" s="31"/>
      <c r="O404" s="192"/>
    </row>
    <row r="405" spans="1:76" ht="25.5" x14ac:dyDescent="0.2">
      <c r="A405" s="6" t="s">
        <v>95</v>
      </c>
      <c r="B405" s="14" t="s">
        <v>166</v>
      </c>
      <c r="C405" s="6"/>
      <c r="D405" s="31"/>
      <c r="E405" s="31"/>
      <c r="F405" s="31"/>
      <c r="G405" s="31"/>
      <c r="H405" s="31"/>
      <c r="I405" s="41"/>
      <c r="J405" s="31"/>
      <c r="K405" s="31"/>
      <c r="L405" s="31"/>
      <c r="M405" s="31"/>
      <c r="N405" s="31"/>
      <c r="O405" s="192"/>
    </row>
    <row r="406" spans="1:76" x14ac:dyDescent="0.2">
      <c r="A406" s="6"/>
      <c r="B406" s="10" t="s">
        <v>280</v>
      </c>
      <c r="C406" s="6">
        <v>64</v>
      </c>
      <c r="D406" s="31">
        <v>38858</v>
      </c>
      <c r="E406" s="31">
        <f t="shared" ref="E406" si="182">C406*D406</f>
        <v>2486912</v>
      </c>
      <c r="F406" s="31">
        <f t="shared" ref="F406" si="183">ROUND((D406*10.47143%),0)</f>
        <v>4069</v>
      </c>
      <c r="G406" s="31">
        <f t="shared" ref="G406" si="184">ROUND((C406*F406),0)</f>
        <v>260416</v>
      </c>
      <c r="H406" s="31">
        <v>9188</v>
      </c>
      <c r="I406" s="41">
        <v>1.599</v>
      </c>
      <c r="J406" s="31">
        <f t="shared" ref="J406" si="185">H406*I406</f>
        <v>14691.611999999999</v>
      </c>
      <c r="K406" s="31">
        <f t="shared" ref="K406" si="186">C406*J406</f>
        <v>940263.16799999995</v>
      </c>
      <c r="L406" s="31">
        <f t="shared" ref="L406:M406" si="187">D406+F406+J406</f>
        <v>57618.612000000001</v>
      </c>
      <c r="M406" s="31">
        <f t="shared" si="187"/>
        <v>3687591.1680000001</v>
      </c>
      <c r="N406" s="31"/>
      <c r="O406" s="192">
        <f t="shared" ref="O406" si="188">M406+N406</f>
        <v>3687591.1680000001</v>
      </c>
    </row>
    <row r="407" spans="1:76" ht="25.5" x14ac:dyDescent="0.2">
      <c r="A407" s="6"/>
      <c r="B407" s="7" t="s">
        <v>303</v>
      </c>
      <c r="C407" s="6"/>
      <c r="D407" s="31"/>
      <c r="E407" s="31"/>
      <c r="F407" s="31"/>
      <c r="G407" s="31"/>
      <c r="H407" s="31"/>
      <c r="I407" s="41"/>
      <c r="J407" s="31"/>
      <c r="K407" s="31"/>
      <c r="L407" s="31"/>
      <c r="M407" s="31"/>
      <c r="N407" s="31"/>
      <c r="O407" s="192"/>
    </row>
    <row r="408" spans="1:76" ht="38.25" hidden="1" x14ac:dyDescent="0.2">
      <c r="A408" s="21" t="s">
        <v>169</v>
      </c>
      <c r="B408" s="22" t="s">
        <v>168</v>
      </c>
      <c r="C408" s="21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193"/>
    </row>
    <row r="409" spans="1:76" s="25" customFormat="1" x14ac:dyDescent="0.2">
      <c r="B409" s="18" t="s">
        <v>193</v>
      </c>
      <c r="C409" s="88">
        <f>C366+C380+C398</f>
        <v>1029</v>
      </c>
      <c r="D409" s="48"/>
      <c r="E409" s="48">
        <f>E366+E380+E398</f>
        <v>32013197</v>
      </c>
      <c r="F409" s="48"/>
      <c r="G409" s="48">
        <f>G366+G380+G398</f>
        <v>3352073</v>
      </c>
      <c r="H409" s="48"/>
      <c r="I409" s="48"/>
      <c r="J409" s="48"/>
      <c r="K409" s="48">
        <f>K366+K380+K398</f>
        <v>15118449.998000002</v>
      </c>
      <c r="L409" s="48"/>
      <c r="M409" s="48">
        <f>M366+M380+M398</f>
        <v>50483719.997999996</v>
      </c>
      <c r="N409" s="48">
        <v>890000</v>
      </c>
      <c r="O409" s="146">
        <f>M409+N409</f>
        <v>51373719.997999996</v>
      </c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  <c r="BP409" s="138"/>
      <c r="BQ409" s="138"/>
      <c r="BR409" s="138"/>
      <c r="BS409" s="138"/>
      <c r="BT409" s="138"/>
      <c r="BU409" s="138"/>
      <c r="BV409" s="138"/>
      <c r="BW409" s="138"/>
      <c r="BX409" s="198"/>
    </row>
    <row r="410" spans="1:76" s="25" customFormat="1" x14ac:dyDescent="0.2">
      <c r="B410" s="25" t="s">
        <v>194</v>
      </c>
      <c r="C410" s="25">
        <f>C49+C94+C142+C186+C230+C274+C321+C365+C409</f>
        <v>8440</v>
      </c>
      <c r="D410" s="35"/>
      <c r="E410" s="35">
        <f>E49+E94+E142+E186+E230+E274+E321+E365+E409</f>
        <v>259547089</v>
      </c>
      <c r="F410" s="35"/>
      <c r="G410" s="35">
        <f>G49+G94+G142+G186+G230+G274+G321+G365+G409</f>
        <v>27176986</v>
      </c>
      <c r="H410" s="35"/>
      <c r="I410" s="35"/>
      <c r="J410" s="35"/>
      <c r="K410" s="35">
        <f>K49+K94+K142+K186+K230+K274+K321+K365+K409</f>
        <v>92815599.997055992</v>
      </c>
      <c r="L410" s="35"/>
      <c r="M410" s="35">
        <f>M49+M94+M142+M186+M230+M274+M321+M365+M409</f>
        <v>379539674.99705601</v>
      </c>
      <c r="N410" s="35">
        <f>N49+N94+N142+N186+N230+N274+N321+N365+N409</f>
        <v>4748000</v>
      </c>
      <c r="O410" s="194">
        <f>O49+O94+O142+O186+O230+O274+O321+O365+O409</f>
        <v>384287674.99705601</v>
      </c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  <c r="BT410" s="138"/>
      <c r="BU410" s="138"/>
      <c r="BV410" s="138"/>
      <c r="BW410" s="138"/>
      <c r="BX410" s="198"/>
    </row>
    <row r="411" spans="1:76" ht="51" hidden="1" x14ac:dyDescent="0.2">
      <c r="A411" s="6" t="s">
        <v>10</v>
      </c>
      <c r="B411" s="15" t="s">
        <v>163</v>
      </c>
      <c r="C411" s="6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192"/>
    </row>
    <row r="412" spans="1:76" hidden="1" x14ac:dyDescent="0.2">
      <c r="A412" s="6"/>
      <c r="B412" s="13" t="s">
        <v>91</v>
      </c>
      <c r="C412" s="6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192"/>
    </row>
    <row r="413" spans="1:76" hidden="1" x14ac:dyDescent="0.2">
      <c r="A413" s="6"/>
      <c r="B413" s="7" t="s">
        <v>92</v>
      </c>
      <c r="C413" s="6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192"/>
    </row>
    <row r="414" spans="1:76" hidden="1" x14ac:dyDescent="0.2">
      <c r="A414" s="6"/>
      <c r="B414" s="13" t="s">
        <v>156</v>
      </c>
      <c r="C414" s="6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192"/>
    </row>
    <row r="415" spans="1:76" hidden="1" x14ac:dyDescent="0.2">
      <c r="A415" s="6"/>
      <c r="B415" s="7" t="s">
        <v>157</v>
      </c>
      <c r="C415" s="6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192"/>
    </row>
    <row r="416" spans="1:76" ht="51" hidden="1" x14ac:dyDescent="0.2">
      <c r="A416" s="6" t="s">
        <v>12</v>
      </c>
      <c r="B416" s="14" t="s">
        <v>155</v>
      </c>
      <c r="C416" s="6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192"/>
    </row>
    <row r="417" spans="1:75" hidden="1" x14ac:dyDescent="0.2">
      <c r="A417" s="6"/>
      <c r="B417" s="10" t="s">
        <v>91</v>
      </c>
      <c r="C417" s="6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192"/>
    </row>
    <row r="418" spans="1:75" hidden="1" x14ac:dyDescent="0.2">
      <c r="A418" s="6"/>
      <c r="B418" s="7" t="s">
        <v>92</v>
      </c>
      <c r="C418" s="6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192"/>
    </row>
    <row r="419" spans="1:75" ht="38.25" hidden="1" x14ac:dyDescent="0.2">
      <c r="A419" s="6" t="s">
        <v>53</v>
      </c>
      <c r="B419" s="14" t="s">
        <v>158</v>
      </c>
      <c r="C419" s="6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192"/>
    </row>
    <row r="420" spans="1:75" s="11" customFormat="1" hidden="1" x14ac:dyDescent="0.2">
      <c r="A420" s="4" t="s">
        <v>164</v>
      </c>
      <c r="B420" s="5" t="s">
        <v>159</v>
      </c>
      <c r="C420" s="4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190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  <c r="BD420" s="201"/>
      <c r="BE420" s="201"/>
      <c r="BF420" s="201"/>
      <c r="BG420" s="201"/>
      <c r="BH420" s="201"/>
      <c r="BI420" s="201"/>
      <c r="BJ420" s="201"/>
      <c r="BK420" s="201"/>
      <c r="BL420" s="201"/>
      <c r="BM420" s="201"/>
      <c r="BN420" s="201"/>
      <c r="BO420" s="201"/>
      <c r="BP420" s="201"/>
      <c r="BQ420" s="201"/>
      <c r="BR420" s="201"/>
      <c r="BS420" s="201"/>
      <c r="BT420" s="201"/>
      <c r="BU420" s="201"/>
      <c r="BV420" s="201"/>
      <c r="BW420" s="201"/>
    </row>
    <row r="421" spans="1:75" ht="25.5" hidden="1" x14ac:dyDescent="0.2">
      <c r="A421" s="6" t="s">
        <v>15</v>
      </c>
      <c r="B421" s="14" t="s">
        <v>160</v>
      </c>
      <c r="C421" s="6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192"/>
    </row>
    <row r="422" spans="1:75" hidden="1" x14ac:dyDescent="0.2">
      <c r="A422" s="6"/>
      <c r="B422" s="13" t="s">
        <v>91</v>
      </c>
      <c r="C422" s="6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192"/>
    </row>
    <row r="423" spans="1:75" hidden="1" x14ac:dyDescent="0.2">
      <c r="A423" s="6"/>
      <c r="B423" s="7" t="s">
        <v>92</v>
      </c>
      <c r="C423" s="6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192"/>
    </row>
    <row r="424" spans="1:75" hidden="1" x14ac:dyDescent="0.2">
      <c r="A424" s="6"/>
      <c r="B424" s="13" t="s">
        <v>156</v>
      </c>
      <c r="C424" s="6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192"/>
    </row>
    <row r="425" spans="1:75" hidden="1" x14ac:dyDescent="0.2">
      <c r="A425" s="6"/>
      <c r="B425" s="7" t="s">
        <v>157</v>
      </c>
      <c r="C425" s="6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192"/>
    </row>
    <row r="426" spans="1:75" ht="54" hidden="1" customHeight="1" x14ac:dyDescent="0.2">
      <c r="A426" s="6" t="s">
        <v>59</v>
      </c>
      <c r="B426" s="15" t="s">
        <v>161</v>
      </c>
      <c r="C426" s="6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192"/>
    </row>
    <row r="427" spans="1:75" hidden="1" x14ac:dyDescent="0.2">
      <c r="A427" s="6"/>
      <c r="B427" s="13" t="s">
        <v>91</v>
      </c>
      <c r="C427" s="6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192"/>
    </row>
    <row r="428" spans="1:75" hidden="1" x14ac:dyDescent="0.2">
      <c r="A428" s="6"/>
      <c r="B428" s="7" t="s">
        <v>92</v>
      </c>
      <c r="C428" s="6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192"/>
    </row>
    <row r="429" spans="1:75" hidden="1" x14ac:dyDescent="0.2">
      <c r="A429" s="6"/>
      <c r="B429" s="13" t="s">
        <v>156</v>
      </c>
      <c r="C429" s="6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192"/>
    </row>
    <row r="430" spans="1:75" hidden="1" x14ac:dyDescent="0.2">
      <c r="A430" s="6"/>
      <c r="B430" s="7" t="s">
        <v>157</v>
      </c>
      <c r="C430" s="6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192"/>
    </row>
    <row r="431" spans="1:75" ht="51" hidden="1" x14ac:dyDescent="0.2">
      <c r="A431" s="6" t="s">
        <v>60</v>
      </c>
      <c r="B431" s="15" t="s">
        <v>163</v>
      </c>
      <c r="C431" s="6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192"/>
    </row>
    <row r="432" spans="1:75" hidden="1" x14ac:dyDescent="0.2">
      <c r="A432" s="6"/>
      <c r="B432" s="13" t="s">
        <v>91</v>
      </c>
      <c r="C432" s="6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192"/>
    </row>
    <row r="433" spans="1:75" hidden="1" x14ac:dyDescent="0.2">
      <c r="A433" s="6"/>
      <c r="B433" s="7" t="s">
        <v>92</v>
      </c>
      <c r="C433" s="6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192"/>
    </row>
    <row r="434" spans="1:75" hidden="1" x14ac:dyDescent="0.2">
      <c r="A434" s="6"/>
      <c r="B434" s="13" t="s">
        <v>156</v>
      </c>
      <c r="C434" s="6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192"/>
    </row>
    <row r="435" spans="1:75" hidden="1" x14ac:dyDescent="0.2">
      <c r="A435" s="6"/>
      <c r="B435" s="7" t="s">
        <v>157</v>
      </c>
      <c r="C435" s="6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192"/>
    </row>
    <row r="436" spans="1:75" ht="38.25" hidden="1" x14ac:dyDescent="0.2">
      <c r="A436" s="6" t="s">
        <v>61</v>
      </c>
      <c r="B436" s="13" t="s">
        <v>162</v>
      </c>
      <c r="C436" s="6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192"/>
    </row>
    <row r="437" spans="1:75" s="11" customFormat="1" hidden="1" x14ac:dyDescent="0.2">
      <c r="A437" s="4">
        <v>3</v>
      </c>
      <c r="B437" s="5" t="s">
        <v>165</v>
      </c>
      <c r="C437" s="4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190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  <c r="BD437" s="201"/>
      <c r="BE437" s="201"/>
      <c r="BF437" s="201"/>
      <c r="BG437" s="201"/>
      <c r="BH437" s="201"/>
      <c r="BI437" s="201"/>
      <c r="BJ437" s="201"/>
      <c r="BK437" s="201"/>
      <c r="BL437" s="201"/>
      <c r="BM437" s="201"/>
      <c r="BN437" s="201"/>
      <c r="BO437" s="201"/>
      <c r="BP437" s="201"/>
      <c r="BQ437" s="201"/>
      <c r="BR437" s="201"/>
      <c r="BS437" s="201"/>
      <c r="BT437" s="201"/>
      <c r="BU437" s="201"/>
      <c r="BV437" s="201"/>
      <c r="BW437" s="201"/>
    </row>
    <row r="438" spans="1:75" ht="25.5" hidden="1" x14ac:dyDescent="0.2">
      <c r="A438" s="6" t="s">
        <v>93</v>
      </c>
      <c r="B438" s="14" t="s">
        <v>166</v>
      </c>
      <c r="C438" s="6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192"/>
    </row>
    <row r="439" spans="1:75" hidden="1" x14ac:dyDescent="0.2">
      <c r="A439" s="6"/>
      <c r="B439" s="13" t="s">
        <v>156</v>
      </c>
      <c r="C439" s="6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192"/>
    </row>
    <row r="440" spans="1:75" hidden="1" x14ac:dyDescent="0.2">
      <c r="A440" s="6"/>
      <c r="B440" s="7" t="s">
        <v>157</v>
      </c>
      <c r="C440" s="6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192"/>
    </row>
    <row r="441" spans="1:75" ht="54" hidden="1" customHeight="1" x14ac:dyDescent="0.2">
      <c r="A441" s="6" t="s">
        <v>94</v>
      </c>
      <c r="B441" s="15" t="s">
        <v>167</v>
      </c>
      <c r="C441" s="6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192"/>
    </row>
    <row r="442" spans="1:75" hidden="1" x14ac:dyDescent="0.2">
      <c r="A442" s="6"/>
      <c r="B442" s="13" t="s">
        <v>156</v>
      </c>
      <c r="C442" s="6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192"/>
    </row>
    <row r="443" spans="1:75" hidden="1" x14ac:dyDescent="0.2">
      <c r="A443" s="6"/>
      <c r="B443" s="7" t="s">
        <v>157</v>
      </c>
      <c r="C443" s="6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192"/>
    </row>
    <row r="444" spans="1:75" ht="51" hidden="1" x14ac:dyDescent="0.2">
      <c r="A444" s="6" t="s">
        <v>95</v>
      </c>
      <c r="B444" s="15" t="s">
        <v>153</v>
      </c>
      <c r="C444" s="6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192"/>
    </row>
    <row r="445" spans="1:75" hidden="1" x14ac:dyDescent="0.2">
      <c r="A445" s="6"/>
      <c r="B445" s="13" t="s">
        <v>156</v>
      </c>
      <c r="C445" s="6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192"/>
    </row>
    <row r="446" spans="1:75" hidden="1" x14ac:dyDescent="0.2">
      <c r="A446" s="6"/>
      <c r="B446" s="7" t="s">
        <v>157</v>
      </c>
      <c r="C446" s="6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192"/>
    </row>
    <row r="447" spans="1:75" ht="38.25" hidden="1" x14ac:dyDescent="0.2">
      <c r="A447" s="6" t="s">
        <v>169</v>
      </c>
      <c r="B447" s="13" t="s">
        <v>168</v>
      </c>
      <c r="C447" s="6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192"/>
    </row>
    <row r="448" spans="1:75" s="19" customFormat="1" hidden="1" x14ac:dyDescent="0.2">
      <c r="B448" s="18" t="s">
        <v>219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  <c r="BP448" s="138"/>
      <c r="BQ448" s="138"/>
      <c r="BR448" s="138"/>
      <c r="BS448" s="138"/>
      <c r="BT448" s="138"/>
      <c r="BU448" s="138"/>
      <c r="BV448" s="138"/>
      <c r="BW448" s="138"/>
    </row>
    <row r="449" spans="1:75" ht="15" customHeight="1" x14ac:dyDescent="0.2">
      <c r="A449" s="164" t="s">
        <v>0</v>
      </c>
      <c r="B449" s="165" t="s">
        <v>1</v>
      </c>
      <c r="C449" s="165"/>
      <c r="D449" s="112"/>
      <c r="E449" s="116">
        <v>259565235</v>
      </c>
      <c r="F449" s="113"/>
      <c r="G449" s="114">
        <v>27180100</v>
      </c>
      <c r="H449" s="157"/>
      <c r="I449" s="158"/>
      <c r="J449" s="156"/>
      <c r="K449" s="156"/>
      <c r="L449" s="36"/>
      <c r="M449" s="156"/>
      <c r="N449" s="156"/>
      <c r="O449" s="157"/>
    </row>
    <row r="450" spans="1:75" ht="45.75" customHeight="1" x14ac:dyDescent="0.2">
      <c r="A450" s="164"/>
      <c r="B450" s="164"/>
      <c r="C450" s="164"/>
      <c r="D450" s="36"/>
      <c r="E450" s="36"/>
      <c r="F450" s="36"/>
      <c r="G450" s="36"/>
      <c r="H450" s="3"/>
      <c r="I450" s="3"/>
      <c r="J450" s="36"/>
      <c r="K450" s="36"/>
      <c r="L450" s="111"/>
      <c r="M450" s="156"/>
      <c r="N450" s="156"/>
      <c r="O450" s="157"/>
    </row>
    <row r="451" spans="1:75" s="11" customFormat="1" x14ac:dyDescent="0.2">
      <c r="A451" s="23" t="s">
        <v>172</v>
      </c>
      <c r="B451" s="24" t="s">
        <v>195</v>
      </c>
      <c r="C451" s="23">
        <f>SUM(C452:C454)</f>
        <v>57</v>
      </c>
      <c r="D451" s="37"/>
      <c r="E451" s="37">
        <f>SUM(E452:E454)</f>
        <v>2409846</v>
      </c>
      <c r="F451" s="37"/>
      <c r="G451" s="37">
        <f>SUM(G452:G454)</f>
        <v>252339</v>
      </c>
      <c r="H451" s="37"/>
      <c r="I451" s="37"/>
      <c r="J451" s="37"/>
      <c r="K451" s="37">
        <f>SUM(K452:K454)</f>
        <v>1077606.7113399999</v>
      </c>
      <c r="L451" s="37"/>
      <c r="M451" s="37">
        <f>SUM(M452:M454)</f>
        <v>3739791.7113399999</v>
      </c>
      <c r="N451" s="37"/>
      <c r="O451" s="195">
        <f>SUM(O452:O454)</f>
        <v>3739791.7113399999</v>
      </c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  <c r="BA451" s="201"/>
      <c r="BB451" s="201"/>
      <c r="BC451" s="201"/>
      <c r="BD451" s="201"/>
      <c r="BE451" s="201"/>
      <c r="BF451" s="201"/>
      <c r="BG451" s="201"/>
      <c r="BH451" s="201"/>
      <c r="BI451" s="201"/>
      <c r="BJ451" s="201"/>
      <c r="BK451" s="201"/>
      <c r="BL451" s="201"/>
      <c r="BM451" s="201"/>
      <c r="BN451" s="201"/>
      <c r="BO451" s="201"/>
      <c r="BP451" s="201"/>
      <c r="BQ451" s="201"/>
      <c r="BR451" s="201"/>
      <c r="BS451" s="201"/>
      <c r="BT451" s="201"/>
      <c r="BU451" s="201"/>
      <c r="BV451" s="201"/>
      <c r="BW451" s="201"/>
    </row>
    <row r="452" spans="1:75" ht="25.5" x14ac:dyDescent="0.2">
      <c r="A452" s="6" t="s">
        <v>96</v>
      </c>
      <c r="B452" s="16" t="s">
        <v>154</v>
      </c>
      <c r="C452" s="6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192"/>
    </row>
    <row r="453" spans="1:75" x14ac:dyDescent="0.2">
      <c r="A453" s="6"/>
      <c r="B453" s="10" t="s">
        <v>280</v>
      </c>
      <c r="C453" s="6">
        <v>44</v>
      </c>
      <c r="D453" s="31">
        <v>42278</v>
      </c>
      <c r="E453" s="31">
        <f>C453*D453</f>
        <v>1860232</v>
      </c>
      <c r="F453" s="31">
        <f t="shared" ref="F453:F454" si="189">ROUND((D453*10.47143%),0)</f>
        <v>4427</v>
      </c>
      <c r="G453" s="31">
        <f>ROUND((C453*F453),0)</f>
        <v>194788</v>
      </c>
      <c r="H453" s="31">
        <v>16551.61</v>
      </c>
      <c r="I453" s="41">
        <v>1.1419999999999999</v>
      </c>
      <c r="J453" s="31">
        <f t="shared" ref="J453:J454" si="190">H453*I453</f>
        <v>18901.938620000001</v>
      </c>
      <c r="K453" s="31">
        <f>C453*J453+196.21</f>
        <v>831881.50928</v>
      </c>
      <c r="L453" s="31">
        <f t="shared" ref="L453:M454" si="191">D453+F453+J453</f>
        <v>65606.938620000001</v>
      </c>
      <c r="M453" s="31">
        <f t="shared" si="191"/>
        <v>2886901.5092799999</v>
      </c>
      <c r="N453" s="31"/>
      <c r="O453" s="192">
        <f t="shared" ref="O453:O454" si="192">M453+N453</f>
        <v>2886901.5092799999</v>
      </c>
    </row>
    <row r="454" spans="1:75" x14ac:dyDescent="0.2">
      <c r="A454" s="6"/>
      <c r="B454" s="103" t="s">
        <v>309</v>
      </c>
      <c r="C454" s="6">
        <v>13</v>
      </c>
      <c r="D454" s="31">
        <v>42278</v>
      </c>
      <c r="E454" s="31">
        <f>C454*D454</f>
        <v>549614</v>
      </c>
      <c r="F454" s="31">
        <f t="shared" si="189"/>
        <v>4427</v>
      </c>
      <c r="G454" s="31">
        <f t="shared" ref="G454:G461" si="193">ROUND((C454*F454),0)</f>
        <v>57551</v>
      </c>
      <c r="H454" s="31">
        <v>16551.61</v>
      </c>
      <c r="I454" s="41">
        <v>1.1419999999999999</v>
      </c>
      <c r="J454" s="31">
        <f t="shared" si="190"/>
        <v>18901.938620000001</v>
      </c>
      <c r="K454" s="31">
        <f t="shared" ref="K454" si="194">C454*J454</f>
        <v>245725.20206000001</v>
      </c>
      <c r="L454" s="31">
        <f t="shared" si="191"/>
        <v>65606.938620000001</v>
      </c>
      <c r="M454" s="31">
        <f t="shared" si="191"/>
        <v>852890.20206000004</v>
      </c>
      <c r="N454" s="31"/>
      <c r="O454" s="192">
        <f t="shared" si="192"/>
        <v>852890.20206000004</v>
      </c>
    </row>
    <row r="455" spans="1:75" hidden="1" x14ac:dyDescent="0.2">
      <c r="A455" s="6"/>
      <c r="B455" s="17" t="s">
        <v>92</v>
      </c>
      <c r="C455" s="6"/>
      <c r="D455" s="31"/>
      <c r="E455" s="31"/>
      <c r="F455" s="31">
        <f t="shared" ref="F455:F461" si="195">ROUND((D455*11%),0)</f>
        <v>0</v>
      </c>
      <c r="G455" s="31">
        <f t="shared" si="193"/>
        <v>0</v>
      </c>
      <c r="H455" s="31"/>
      <c r="I455" s="41">
        <v>1.1419999999999999</v>
      </c>
      <c r="J455" s="31"/>
      <c r="K455" s="31"/>
      <c r="L455" s="31"/>
      <c r="M455" s="31"/>
      <c r="N455" s="31"/>
      <c r="O455" s="192"/>
    </row>
    <row r="456" spans="1:75" ht="38.25" hidden="1" x14ac:dyDescent="0.2">
      <c r="A456" s="6" t="s">
        <v>97</v>
      </c>
      <c r="B456" s="16" t="s">
        <v>173</v>
      </c>
      <c r="C456" s="6"/>
      <c r="D456" s="31"/>
      <c r="E456" s="31"/>
      <c r="F456" s="31">
        <f t="shared" si="195"/>
        <v>0</v>
      </c>
      <c r="G456" s="31">
        <f t="shared" si="193"/>
        <v>0</v>
      </c>
      <c r="H456" s="31"/>
      <c r="I456" s="41">
        <v>1.1419999999999999</v>
      </c>
      <c r="J456" s="31"/>
      <c r="K456" s="31"/>
      <c r="L456" s="31"/>
      <c r="M456" s="31"/>
      <c r="N456" s="31"/>
      <c r="O456" s="192"/>
    </row>
    <row r="457" spans="1:75" hidden="1" x14ac:dyDescent="0.2">
      <c r="A457" s="6"/>
      <c r="B457" s="10" t="s">
        <v>91</v>
      </c>
      <c r="C457" s="6"/>
      <c r="D457" s="31"/>
      <c r="E457" s="31"/>
      <c r="F457" s="31">
        <f t="shared" si="195"/>
        <v>0</v>
      </c>
      <c r="G457" s="31">
        <f t="shared" si="193"/>
        <v>0</v>
      </c>
      <c r="H457" s="31"/>
      <c r="I457" s="41">
        <v>1.1419999999999999</v>
      </c>
      <c r="J457" s="31"/>
      <c r="K457" s="31"/>
      <c r="L457" s="31"/>
      <c r="M457" s="31"/>
      <c r="N457" s="31"/>
      <c r="O457" s="192"/>
    </row>
    <row r="458" spans="1:75" hidden="1" x14ac:dyDescent="0.2">
      <c r="A458" s="6"/>
      <c r="B458" s="17" t="s">
        <v>92</v>
      </c>
      <c r="C458" s="6"/>
      <c r="D458" s="31"/>
      <c r="E458" s="31"/>
      <c r="F458" s="31">
        <f t="shared" si="195"/>
        <v>0</v>
      </c>
      <c r="G458" s="31">
        <f t="shared" si="193"/>
        <v>0</v>
      </c>
      <c r="H458" s="31"/>
      <c r="I458" s="41">
        <v>1.1419999999999999</v>
      </c>
      <c r="J458" s="31"/>
      <c r="K458" s="31"/>
      <c r="L458" s="31"/>
      <c r="M458" s="31"/>
      <c r="N458" s="31"/>
      <c r="O458" s="192"/>
    </row>
    <row r="459" spans="1:75" hidden="1" x14ac:dyDescent="0.2">
      <c r="A459" s="6"/>
      <c r="B459" s="10" t="s">
        <v>156</v>
      </c>
      <c r="C459" s="6"/>
      <c r="D459" s="31"/>
      <c r="E459" s="31"/>
      <c r="F459" s="31">
        <f t="shared" si="195"/>
        <v>0</v>
      </c>
      <c r="G459" s="31">
        <f t="shared" si="193"/>
        <v>0</v>
      </c>
      <c r="H459" s="31"/>
      <c r="I459" s="41">
        <v>1.1419999999999999</v>
      </c>
      <c r="J459" s="31"/>
      <c r="K459" s="31"/>
      <c r="L459" s="31"/>
      <c r="M459" s="31"/>
      <c r="N459" s="31"/>
      <c r="O459" s="192"/>
    </row>
    <row r="460" spans="1:75" hidden="1" x14ac:dyDescent="0.2">
      <c r="A460" s="6"/>
      <c r="B460" s="17" t="s">
        <v>157</v>
      </c>
      <c r="C460" s="6"/>
      <c r="D460" s="31"/>
      <c r="E460" s="31"/>
      <c r="F460" s="31">
        <f t="shared" si="195"/>
        <v>0</v>
      </c>
      <c r="G460" s="31">
        <f t="shared" si="193"/>
        <v>0</v>
      </c>
      <c r="H460" s="31"/>
      <c r="I460" s="41">
        <v>1.1419999999999999</v>
      </c>
      <c r="J460" s="31"/>
      <c r="K460" s="31"/>
      <c r="L460" s="31"/>
      <c r="M460" s="31"/>
      <c r="N460" s="31"/>
      <c r="O460" s="192"/>
    </row>
    <row r="461" spans="1:75" ht="38.25" hidden="1" x14ac:dyDescent="0.2">
      <c r="A461" s="6" t="s">
        <v>98</v>
      </c>
      <c r="B461" s="16" t="s">
        <v>158</v>
      </c>
      <c r="C461" s="6"/>
      <c r="D461" s="31"/>
      <c r="E461" s="31"/>
      <c r="F461" s="31">
        <f t="shared" si="195"/>
        <v>0</v>
      </c>
      <c r="G461" s="31">
        <f t="shared" si="193"/>
        <v>0</v>
      </c>
      <c r="H461" s="31"/>
      <c r="I461" s="41">
        <v>1.1419999999999999</v>
      </c>
      <c r="J461" s="31"/>
      <c r="K461" s="31"/>
      <c r="L461" s="31"/>
      <c r="M461" s="31"/>
      <c r="N461" s="31"/>
      <c r="O461" s="192"/>
    </row>
    <row r="462" spans="1:75" s="11" customFormat="1" x14ac:dyDescent="0.2">
      <c r="A462" s="4">
        <v>5</v>
      </c>
      <c r="B462" s="5" t="s">
        <v>174</v>
      </c>
      <c r="C462" s="4">
        <f>SUM(C463:C465)</f>
        <v>82</v>
      </c>
      <c r="D462" s="32"/>
      <c r="E462" s="32">
        <f>SUM(E463:E465)</f>
        <v>4381588</v>
      </c>
      <c r="F462" s="31"/>
      <c r="G462" s="32">
        <f>SUM(G463:G465)</f>
        <v>458790</v>
      </c>
      <c r="H462" s="32"/>
      <c r="I462" s="47"/>
      <c r="J462" s="31"/>
      <c r="K462" s="32">
        <f>SUM(K463:K465)</f>
        <v>1549958.9668400001</v>
      </c>
      <c r="L462" s="32"/>
      <c r="M462" s="32">
        <f>SUM(M463:M465)</f>
        <v>6390336.9668400008</v>
      </c>
      <c r="N462" s="32"/>
      <c r="O462" s="190">
        <f>SUM(O463:O465)</f>
        <v>6390336.9668400008</v>
      </c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  <c r="BA462" s="201"/>
      <c r="BB462" s="201"/>
      <c r="BC462" s="201"/>
      <c r="BD462" s="201"/>
      <c r="BE462" s="201"/>
      <c r="BF462" s="201"/>
      <c r="BG462" s="201"/>
      <c r="BH462" s="201"/>
      <c r="BI462" s="201"/>
      <c r="BJ462" s="201"/>
      <c r="BK462" s="201"/>
      <c r="BL462" s="201"/>
      <c r="BM462" s="201"/>
      <c r="BN462" s="201"/>
      <c r="BO462" s="201"/>
      <c r="BP462" s="201"/>
      <c r="BQ462" s="201"/>
      <c r="BR462" s="201"/>
      <c r="BS462" s="201"/>
      <c r="BT462" s="201"/>
      <c r="BU462" s="201"/>
      <c r="BV462" s="201"/>
      <c r="BW462" s="201"/>
    </row>
    <row r="463" spans="1:75" ht="25.5" x14ac:dyDescent="0.2">
      <c r="A463" s="6" t="s">
        <v>99</v>
      </c>
      <c r="B463" s="14" t="s">
        <v>160</v>
      </c>
      <c r="C463" s="6"/>
      <c r="D463" s="31"/>
      <c r="E463" s="31"/>
      <c r="F463" s="31"/>
      <c r="G463" s="31"/>
      <c r="H463" s="31"/>
      <c r="I463" s="41"/>
      <c r="J463" s="31"/>
      <c r="K463" s="31"/>
      <c r="L463" s="31"/>
      <c r="M463" s="31"/>
      <c r="N463" s="31"/>
      <c r="O463" s="192"/>
    </row>
    <row r="464" spans="1:75" x14ac:dyDescent="0.2">
      <c r="A464" s="6"/>
      <c r="B464" s="10" t="s">
        <v>280</v>
      </c>
      <c r="C464" s="6">
        <v>16</v>
      </c>
      <c r="D464" s="31">
        <v>53434</v>
      </c>
      <c r="E464" s="31">
        <f>C464*D464</f>
        <v>854944</v>
      </c>
      <c r="F464" s="31">
        <f t="shared" ref="F464:F465" si="196">ROUND((D464*10.47143%),0)</f>
        <v>5595</v>
      </c>
      <c r="G464" s="31">
        <f t="shared" ref="G464:G465" si="197">ROUND((C464*F464),0)</f>
        <v>89520</v>
      </c>
      <c r="H464" s="31">
        <v>16551.61</v>
      </c>
      <c r="I464" s="41">
        <v>1.1419999999999999</v>
      </c>
      <c r="J464" s="31">
        <f t="shared" ref="J464" si="198">H464*I464</f>
        <v>18901.938620000001</v>
      </c>
      <c r="K464" s="31">
        <f t="shared" ref="K464" si="199">C464*J464</f>
        <v>302431.01792000001</v>
      </c>
      <c r="L464" s="31">
        <f t="shared" ref="L464:M465" si="200">D464+F464+J464</f>
        <v>77930.938620000001</v>
      </c>
      <c r="M464" s="31">
        <f t="shared" si="200"/>
        <v>1246895.01792</v>
      </c>
      <c r="N464" s="31"/>
      <c r="O464" s="192">
        <f t="shared" ref="O464" si="201">M464+N464</f>
        <v>1246895.01792</v>
      </c>
    </row>
    <row r="465" spans="1:75" x14ac:dyDescent="0.2">
      <c r="A465" s="6"/>
      <c r="B465" s="103" t="s">
        <v>309</v>
      </c>
      <c r="C465" s="6">
        <v>66</v>
      </c>
      <c r="D465" s="31">
        <v>53434</v>
      </c>
      <c r="E465" s="31">
        <f>C465*D465</f>
        <v>3526644</v>
      </c>
      <c r="F465" s="31">
        <f t="shared" si="196"/>
        <v>5595</v>
      </c>
      <c r="G465" s="31">
        <f t="shared" si="197"/>
        <v>369270</v>
      </c>
      <c r="H465" s="31">
        <v>16551.61</v>
      </c>
      <c r="I465" s="41">
        <v>1.1419999999999999</v>
      </c>
      <c r="J465" s="31">
        <f t="shared" ref="J465" si="202">H465*I465</f>
        <v>18901.938620000001</v>
      </c>
      <c r="K465" s="31">
        <f t="shared" ref="K465" si="203">C465*J465</f>
        <v>1247527.9489200001</v>
      </c>
      <c r="L465" s="31">
        <f t="shared" si="200"/>
        <v>77930.938620000001</v>
      </c>
      <c r="M465" s="31">
        <f t="shared" si="200"/>
        <v>5143441.9489200003</v>
      </c>
      <c r="N465" s="31"/>
      <c r="O465" s="192">
        <f t="shared" ref="O465" si="204">M465+N465</f>
        <v>5143441.9489200003</v>
      </c>
    </row>
    <row r="466" spans="1:75" hidden="1" x14ac:dyDescent="0.2">
      <c r="A466" s="6"/>
      <c r="B466" s="7" t="s">
        <v>92</v>
      </c>
      <c r="C466" s="6"/>
      <c r="D466" s="31"/>
      <c r="E466" s="31"/>
      <c r="F466" s="31"/>
      <c r="G466" s="31"/>
      <c r="H466" s="31"/>
      <c r="I466" s="41">
        <v>0.95</v>
      </c>
      <c r="J466" s="31"/>
      <c r="K466" s="31"/>
      <c r="L466" s="31"/>
      <c r="M466" s="31"/>
      <c r="N466" s="31"/>
      <c r="O466" s="192"/>
    </row>
    <row r="467" spans="1:75" hidden="1" x14ac:dyDescent="0.2">
      <c r="A467" s="6"/>
      <c r="B467" s="103" t="s">
        <v>156</v>
      </c>
      <c r="C467" s="6"/>
      <c r="D467" s="31"/>
      <c r="E467" s="31"/>
      <c r="F467" s="31"/>
      <c r="G467" s="31"/>
      <c r="H467" s="31"/>
      <c r="I467" s="41">
        <v>0.95</v>
      </c>
      <c r="J467" s="31"/>
      <c r="K467" s="31"/>
      <c r="L467" s="31"/>
      <c r="M467" s="31"/>
      <c r="N467" s="31"/>
      <c r="O467" s="192"/>
    </row>
    <row r="468" spans="1:75" hidden="1" x14ac:dyDescent="0.2">
      <c r="A468" s="6"/>
      <c r="B468" s="7" t="s">
        <v>157</v>
      </c>
      <c r="C468" s="6"/>
      <c r="D468" s="31"/>
      <c r="E468" s="31"/>
      <c r="F468" s="31"/>
      <c r="G468" s="31"/>
      <c r="H468" s="31"/>
      <c r="I468" s="41">
        <v>0.95</v>
      </c>
      <c r="J468" s="31"/>
      <c r="K468" s="31"/>
      <c r="L468" s="31"/>
      <c r="M468" s="31"/>
      <c r="N468" s="31"/>
      <c r="O468" s="192"/>
    </row>
    <row r="469" spans="1:75" ht="38.25" hidden="1" x14ac:dyDescent="0.2">
      <c r="A469" s="6" t="s">
        <v>100</v>
      </c>
      <c r="B469" s="16" t="s">
        <v>175</v>
      </c>
      <c r="C469" s="6"/>
      <c r="D469" s="31"/>
      <c r="E469" s="31"/>
      <c r="F469" s="31"/>
      <c r="G469" s="31"/>
      <c r="H469" s="31"/>
      <c r="I469" s="41">
        <v>0.95</v>
      </c>
      <c r="J469" s="31"/>
      <c r="K469" s="31"/>
      <c r="L469" s="31"/>
      <c r="M469" s="31"/>
      <c r="N469" s="31"/>
      <c r="O469" s="192"/>
    </row>
    <row r="470" spans="1:75" hidden="1" x14ac:dyDescent="0.2">
      <c r="A470" s="6"/>
      <c r="B470" s="10" t="s">
        <v>91</v>
      </c>
      <c r="C470" s="6"/>
      <c r="D470" s="31"/>
      <c r="E470" s="31"/>
      <c r="F470" s="31"/>
      <c r="G470" s="31"/>
      <c r="H470" s="31"/>
      <c r="I470" s="41">
        <v>0.95</v>
      </c>
      <c r="J470" s="31"/>
      <c r="K470" s="31"/>
      <c r="L470" s="31"/>
      <c r="M470" s="31"/>
      <c r="N470" s="31"/>
      <c r="O470" s="192"/>
    </row>
    <row r="471" spans="1:75" hidden="1" x14ac:dyDescent="0.2">
      <c r="A471" s="6"/>
      <c r="B471" s="17" t="s">
        <v>92</v>
      </c>
      <c r="C471" s="6"/>
      <c r="D471" s="31"/>
      <c r="E471" s="31"/>
      <c r="F471" s="31"/>
      <c r="G471" s="31"/>
      <c r="H471" s="31"/>
      <c r="I471" s="41">
        <v>0.95</v>
      </c>
      <c r="J471" s="31"/>
      <c r="K471" s="31"/>
      <c r="L471" s="31"/>
      <c r="M471" s="31"/>
      <c r="N471" s="31"/>
      <c r="O471" s="192"/>
    </row>
    <row r="472" spans="1:75" hidden="1" x14ac:dyDescent="0.2">
      <c r="A472" s="6"/>
      <c r="B472" s="10" t="s">
        <v>156</v>
      </c>
      <c r="C472" s="6"/>
      <c r="D472" s="31"/>
      <c r="E472" s="31"/>
      <c r="F472" s="31"/>
      <c r="G472" s="31"/>
      <c r="H472" s="31"/>
      <c r="I472" s="41">
        <v>0.95</v>
      </c>
      <c r="J472" s="31"/>
      <c r="K472" s="31"/>
      <c r="L472" s="31"/>
      <c r="M472" s="31"/>
      <c r="N472" s="31"/>
      <c r="O472" s="192"/>
    </row>
    <row r="473" spans="1:75" hidden="1" x14ac:dyDescent="0.2">
      <c r="A473" s="6"/>
      <c r="B473" s="17" t="s">
        <v>157</v>
      </c>
      <c r="C473" s="6"/>
      <c r="D473" s="31"/>
      <c r="E473" s="31"/>
      <c r="F473" s="31"/>
      <c r="G473" s="31"/>
      <c r="H473" s="31"/>
      <c r="I473" s="41">
        <v>0.95</v>
      </c>
      <c r="J473" s="31"/>
      <c r="K473" s="31"/>
      <c r="L473" s="31"/>
      <c r="M473" s="31"/>
      <c r="N473" s="31"/>
      <c r="O473" s="192"/>
    </row>
    <row r="474" spans="1:75" ht="38.25" hidden="1" x14ac:dyDescent="0.2">
      <c r="A474" s="6" t="s">
        <v>101</v>
      </c>
      <c r="B474" s="103" t="s">
        <v>162</v>
      </c>
      <c r="C474" s="6"/>
      <c r="D474" s="31"/>
      <c r="E474" s="31"/>
      <c r="F474" s="31"/>
      <c r="G474" s="31"/>
      <c r="H474" s="31"/>
      <c r="I474" s="41">
        <v>0.95</v>
      </c>
      <c r="J474" s="31"/>
      <c r="K474" s="31"/>
      <c r="L474" s="31"/>
      <c r="M474" s="31"/>
      <c r="N474" s="31"/>
      <c r="O474" s="192"/>
    </row>
    <row r="475" spans="1:75" s="11" customFormat="1" x14ac:dyDescent="0.2">
      <c r="A475" s="4">
        <v>6</v>
      </c>
      <c r="B475" s="5" t="s">
        <v>170</v>
      </c>
      <c r="C475" s="4">
        <f>SUM(C476:C479)</f>
        <v>11</v>
      </c>
      <c r="D475" s="32"/>
      <c r="E475" s="32">
        <f>SUM(E476:E479)</f>
        <v>633787</v>
      </c>
      <c r="F475" s="31"/>
      <c r="G475" s="32">
        <f>SUM(G476:G479)</f>
        <v>66363</v>
      </c>
      <c r="H475" s="32"/>
      <c r="I475" s="47"/>
      <c r="J475" s="31"/>
      <c r="K475" s="32">
        <f>SUM(K476:K479)</f>
        <v>207921.32482000001</v>
      </c>
      <c r="L475" s="32"/>
      <c r="M475" s="32">
        <f>SUM(M476:M479)</f>
        <v>908071.32481999998</v>
      </c>
      <c r="N475" s="32"/>
      <c r="O475" s="190">
        <f>SUM(O476:O479)</f>
        <v>908071.32481999998</v>
      </c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  <c r="BA475" s="201"/>
      <c r="BB475" s="201"/>
      <c r="BC475" s="201"/>
      <c r="BD475" s="201"/>
      <c r="BE475" s="201"/>
      <c r="BF475" s="201"/>
      <c r="BG475" s="201"/>
      <c r="BH475" s="201"/>
      <c r="BI475" s="201"/>
      <c r="BJ475" s="201"/>
      <c r="BK475" s="201"/>
      <c r="BL475" s="201"/>
      <c r="BM475" s="201"/>
      <c r="BN475" s="201"/>
      <c r="BO475" s="201"/>
      <c r="BP475" s="201"/>
      <c r="BQ475" s="201"/>
      <c r="BR475" s="201"/>
      <c r="BS475" s="201"/>
      <c r="BT475" s="201"/>
      <c r="BU475" s="201"/>
      <c r="BV475" s="201"/>
      <c r="BW475" s="201"/>
    </row>
    <row r="476" spans="1:75" ht="25.5" x14ac:dyDescent="0.2">
      <c r="A476" s="6" t="s">
        <v>102</v>
      </c>
      <c r="B476" s="14" t="s">
        <v>166</v>
      </c>
      <c r="C476" s="6"/>
      <c r="D476" s="31"/>
      <c r="E476" s="31"/>
      <c r="F476" s="31"/>
      <c r="G476" s="31"/>
      <c r="H476" s="31"/>
      <c r="I476" s="41"/>
      <c r="J476" s="31"/>
      <c r="K476" s="31"/>
      <c r="L476" s="31"/>
      <c r="M476" s="31"/>
      <c r="N476" s="31"/>
      <c r="O476" s="192"/>
    </row>
    <row r="477" spans="1:75" hidden="1" x14ac:dyDescent="0.2">
      <c r="A477" s="6"/>
      <c r="B477" s="103" t="s">
        <v>91</v>
      </c>
      <c r="C477" s="6"/>
      <c r="D477" s="31"/>
      <c r="E477" s="31"/>
      <c r="F477" s="31"/>
      <c r="G477" s="31"/>
      <c r="H477" s="31"/>
      <c r="I477" s="41"/>
      <c r="J477" s="31"/>
      <c r="K477" s="31"/>
      <c r="L477" s="31"/>
      <c r="M477" s="31"/>
      <c r="N477" s="31"/>
      <c r="O477" s="192"/>
    </row>
    <row r="478" spans="1:75" hidden="1" x14ac:dyDescent="0.2">
      <c r="A478" s="6"/>
      <c r="B478" s="7" t="s">
        <v>92</v>
      </c>
      <c r="C478" s="6"/>
      <c r="D478" s="31"/>
      <c r="E478" s="31"/>
      <c r="F478" s="31"/>
      <c r="G478" s="31"/>
      <c r="H478" s="31"/>
      <c r="I478" s="41"/>
      <c r="J478" s="31"/>
      <c r="K478" s="31"/>
      <c r="L478" s="31"/>
      <c r="M478" s="31"/>
      <c r="N478" s="31"/>
      <c r="O478" s="192"/>
    </row>
    <row r="479" spans="1:75" x14ac:dyDescent="0.2">
      <c r="A479" s="6"/>
      <c r="B479" s="10" t="s">
        <v>280</v>
      </c>
      <c r="C479" s="61">
        <v>11</v>
      </c>
      <c r="D479" s="31">
        <v>57617</v>
      </c>
      <c r="E479" s="31">
        <f>C479*D479</f>
        <v>633787</v>
      </c>
      <c r="F479" s="31">
        <f t="shared" ref="F479" si="205">ROUND((D479*10.47143%),0)</f>
        <v>6033</v>
      </c>
      <c r="G479" s="31">
        <f t="shared" ref="G479" si="206">ROUND((C479*F479),0)</f>
        <v>66363</v>
      </c>
      <c r="H479" s="31">
        <v>16551.61</v>
      </c>
      <c r="I479" s="41">
        <v>1.1419999999999999</v>
      </c>
      <c r="J479" s="31">
        <f t="shared" ref="J479" si="207">H479*I479</f>
        <v>18901.938620000001</v>
      </c>
      <c r="K479" s="31">
        <f t="shared" ref="K479" si="208">C479*J479</f>
        <v>207921.32482000001</v>
      </c>
      <c r="L479" s="31">
        <f t="shared" ref="L479:M479" si="209">D479+F479+J479</f>
        <v>82551.938620000001</v>
      </c>
      <c r="M479" s="31">
        <f t="shared" si="209"/>
        <v>908071.32481999998</v>
      </c>
      <c r="N479" s="31"/>
      <c r="O479" s="192">
        <f t="shared" ref="O479" si="210">M479+N479</f>
        <v>908071.32481999998</v>
      </c>
    </row>
    <row r="480" spans="1:75" hidden="1" x14ac:dyDescent="0.2">
      <c r="A480" s="6"/>
      <c r="B480" s="7" t="s">
        <v>157</v>
      </c>
      <c r="C480" s="80"/>
      <c r="D480" s="31"/>
      <c r="E480" s="31"/>
      <c r="F480" s="31"/>
      <c r="G480" s="31"/>
      <c r="H480" s="31"/>
      <c r="I480" s="41"/>
      <c r="J480" s="31"/>
      <c r="K480" s="31"/>
      <c r="L480" s="31"/>
      <c r="M480" s="31"/>
      <c r="N480" s="31"/>
      <c r="O480" s="192"/>
    </row>
    <row r="481" spans="1:75" ht="38.25" hidden="1" x14ac:dyDescent="0.2">
      <c r="A481" s="6" t="s">
        <v>103</v>
      </c>
      <c r="B481" s="16" t="s">
        <v>175</v>
      </c>
      <c r="C481" s="80"/>
      <c r="D481" s="31"/>
      <c r="E481" s="31"/>
      <c r="F481" s="31"/>
      <c r="G481" s="31"/>
      <c r="H481" s="31"/>
      <c r="I481" s="41"/>
      <c r="J481" s="31"/>
      <c r="K481" s="31"/>
      <c r="L481" s="31"/>
      <c r="M481" s="31"/>
      <c r="N481" s="31"/>
      <c r="O481" s="192"/>
    </row>
    <row r="482" spans="1:75" hidden="1" x14ac:dyDescent="0.2">
      <c r="A482" s="6"/>
      <c r="B482" s="10" t="s">
        <v>91</v>
      </c>
      <c r="C482" s="80"/>
      <c r="D482" s="31"/>
      <c r="E482" s="31"/>
      <c r="F482" s="31"/>
      <c r="G482" s="31"/>
      <c r="H482" s="31"/>
      <c r="I482" s="41"/>
      <c r="J482" s="31"/>
      <c r="K482" s="31"/>
      <c r="L482" s="31"/>
      <c r="M482" s="31"/>
      <c r="N482" s="31"/>
      <c r="O482" s="192"/>
    </row>
    <row r="483" spans="1:75" hidden="1" x14ac:dyDescent="0.2">
      <c r="A483" s="6"/>
      <c r="B483" s="17" t="s">
        <v>92</v>
      </c>
      <c r="C483" s="80"/>
      <c r="D483" s="31"/>
      <c r="E483" s="31"/>
      <c r="F483" s="31"/>
      <c r="G483" s="31"/>
      <c r="H483" s="31"/>
      <c r="I483" s="41"/>
      <c r="J483" s="31"/>
      <c r="K483" s="31"/>
      <c r="L483" s="31"/>
      <c r="M483" s="31"/>
      <c r="N483" s="31"/>
      <c r="O483" s="192"/>
    </row>
    <row r="484" spans="1:75" hidden="1" x14ac:dyDescent="0.2">
      <c r="A484" s="6"/>
      <c r="B484" s="10" t="s">
        <v>156</v>
      </c>
      <c r="C484" s="80"/>
      <c r="D484" s="31"/>
      <c r="E484" s="31"/>
      <c r="F484" s="31"/>
      <c r="G484" s="31"/>
      <c r="H484" s="31"/>
      <c r="I484" s="41"/>
      <c r="J484" s="31"/>
      <c r="K484" s="31"/>
      <c r="L484" s="31"/>
      <c r="M484" s="31"/>
      <c r="N484" s="31"/>
      <c r="O484" s="192"/>
    </row>
    <row r="485" spans="1:75" hidden="1" x14ac:dyDescent="0.2">
      <c r="A485" s="6"/>
      <c r="B485" s="17" t="s">
        <v>157</v>
      </c>
      <c r="C485" s="80"/>
      <c r="D485" s="31"/>
      <c r="E485" s="31"/>
      <c r="F485" s="31"/>
      <c r="G485" s="31"/>
      <c r="H485" s="31"/>
      <c r="I485" s="41"/>
      <c r="J485" s="31"/>
      <c r="K485" s="31"/>
      <c r="L485" s="31"/>
      <c r="M485" s="31"/>
      <c r="N485" s="31"/>
      <c r="O485" s="192"/>
    </row>
    <row r="486" spans="1:75" ht="38.25" hidden="1" x14ac:dyDescent="0.2">
      <c r="A486" s="6" t="s">
        <v>104</v>
      </c>
      <c r="B486" s="103" t="s">
        <v>168</v>
      </c>
      <c r="C486" s="80"/>
      <c r="D486" s="31"/>
      <c r="E486" s="31"/>
      <c r="F486" s="31"/>
      <c r="G486" s="31"/>
      <c r="H486" s="31"/>
      <c r="I486" s="41"/>
      <c r="J486" s="31"/>
      <c r="K486" s="31"/>
      <c r="L486" s="31"/>
      <c r="M486" s="31"/>
      <c r="N486" s="31"/>
      <c r="O486" s="192"/>
    </row>
    <row r="487" spans="1:75" s="19" customFormat="1" x14ac:dyDescent="0.2">
      <c r="B487" s="24" t="s">
        <v>196</v>
      </c>
      <c r="C487" s="88">
        <f>C451+C462+C475</f>
        <v>150</v>
      </c>
      <c r="D487" s="48"/>
      <c r="E487" s="48">
        <f>E451+E462+E475</f>
        <v>7425221</v>
      </c>
      <c r="F487" s="48"/>
      <c r="G487" s="48">
        <f>G451+G462+G475</f>
        <v>777492</v>
      </c>
      <c r="H487" s="48"/>
      <c r="I487" s="143"/>
      <c r="J487" s="48"/>
      <c r="K487" s="48">
        <f>K451+K462+K475</f>
        <v>2835487.003</v>
      </c>
      <c r="L487" s="48"/>
      <c r="M487" s="48">
        <f>M451+M462+M475</f>
        <v>11038200.003000002</v>
      </c>
      <c r="N487" s="48">
        <v>90000</v>
      </c>
      <c r="O487" s="146">
        <f>M487+N487</f>
        <v>11128200.003000002</v>
      </c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8"/>
      <c r="BF487" s="138"/>
      <c r="BG487" s="138"/>
      <c r="BH487" s="138"/>
      <c r="BI487" s="138"/>
      <c r="BJ487" s="138"/>
      <c r="BK487" s="138"/>
      <c r="BL487" s="138"/>
      <c r="BM487" s="138"/>
      <c r="BN487" s="138"/>
      <c r="BO487" s="138"/>
      <c r="BP487" s="138"/>
      <c r="BQ487" s="138"/>
      <c r="BR487" s="138"/>
      <c r="BS487" s="138"/>
      <c r="BT487" s="138"/>
      <c r="BU487" s="138"/>
      <c r="BV487" s="138"/>
      <c r="BW487" s="138"/>
    </row>
    <row r="488" spans="1:75" s="11" customFormat="1" x14ac:dyDescent="0.2">
      <c r="A488" s="4" t="s">
        <v>172</v>
      </c>
      <c r="B488" s="18" t="s">
        <v>197</v>
      </c>
      <c r="C488" s="4">
        <f>SUM(C489:C494)</f>
        <v>52</v>
      </c>
      <c r="D488" s="32"/>
      <c r="E488" s="32">
        <f>SUM(E489:E494)</f>
        <v>2494507</v>
      </c>
      <c r="F488" s="32"/>
      <c r="G488" s="32">
        <f>SUM(G489:G494)</f>
        <v>261199</v>
      </c>
      <c r="H488" s="32"/>
      <c r="I488" s="47"/>
      <c r="J488" s="32"/>
      <c r="K488" s="32">
        <f>SUM(K489:K494)</f>
        <v>2252227.0678000003</v>
      </c>
      <c r="L488" s="32"/>
      <c r="M488" s="32">
        <f>SUM(M489:M494)</f>
        <v>5007933.0678000003</v>
      </c>
      <c r="N488" s="32"/>
      <c r="O488" s="190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  <c r="BA488" s="201"/>
      <c r="BB488" s="201"/>
      <c r="BC488" s="201"/>
      <c r="BD488" s="201"/>
      <c r="BE488" s="201"/>
      <c r="BF488" s="201"/>
      <c r="BG488" s="201"/>
      <c r="BH488" s="201"/>
      <c r="BI488" s="201"/>
      <c r="BJ488" s="201"/>
      <c r="BK488" s="201"/>
      <c r="BL488" s="201"/>
      <c r="BM488" s="201"/>
      <c r="BN488" s="201"/>
      <c r="BO488" s="201"/>
      <c r="BP488" s="201"/>
      <c r="BQ488" s="201"/>
      <c r="BR488" s="201"/>
      <c r="BS488" s="201"/>
      <c r="BT488" s="201"/>
      <c r="BU488" s="201"/>
      <c r="BV488" s="201"/>
      <c r="BW488" s="201"/>
    </row>
    <row r="489" spans="1:75" ht="25.5" x14ac:dyDescent="0.2">
      <c r="A489" s="6" t="s">
        <v>96</v>
      </c>
      <c r="B489" s="16" t="s">
        <v>154</v>
      </c>
      <c r="C489" s="6"/>
      <c r="D489" s="31"/>
      <c r="E489" s="31"/>
      <c r="F489" s="31"/>
      <c r="G489" s="31"/>
      <c r="H489" s="31"/>
      <c r="I489" s="41"/>
      <c r="J489" s="31"/>
      <c r="K489" s="31"/>
      <c r="L489" s="31"/>
      <c r="M489" s="31"/>
      <c r="N489" s="31"/>
      <c r="O489" s="192"/>
    </row>
    <row r="490" spans="1:75" x14ac:dyDescent="0.2">
      <c r="A490" s="6"/>
      <c r="B490" s="10" t="s">
        <v>280</v>
      </c>
      <c r="C490" s="6">
        <v>8</v>
      </c>
      <c r="D490" s="31">
        <v>42278</v>
      </c>
      <c r="E490" s="31">
        <f>C490*D490</f>
        <v>338224</v>
      </c>
      <c r="F490" s="31">
        <f t="shared" ref="F490:F494" si="211">ROUND((D490*10.47143%),0)</f>
        <v>4427</v>
      </c>
      <c r="G490" s="31">
        <f>ROUND((C490*F490),0)</f>
        <v>35416</v>
      </c>
      <c r="H490" s="31">
        <v>16551.61</v>
      </c>
      <c r="I490" s="41">
        <v>2.6150000000000002</v>
      </c>
      <c r="J490" s="31">
        <f t="shared" ref="J490:J492" si="212">H490*I490</f>
        <v>43282.460150000006</v>
      </c>
      <c r="K490" s="31">
        <f>C490*J490+1539.14</f>
        <v>347798.82120000006</v>
      </c>
      <c r="L490" s="31">
        <f t="shared" ref="L490:M491" si="213">D490+F490+J490</f>
        <v>89987.460149999999</v>
      </c>
      <c r="M490" s="31">
        <f t="shared" si="213"/>
        <v>721438.82120000012</v>
      </c>
      <c r="N490" s="31"/>
      <c r="O490" s="192">
        <f t="shared" ref="O490:O492" si="214">M490+N490</f>
        <v>721438.82120000012</v>
      </c>
    </row>
    <row r="491" spans="1:75" x14ac:dyDescent="0.2">
      <c r="A491" s="6"/>
      <c r="B491" s="103" t="s">
        <v>309</v>
      </c>
      <c r="C491" s="6">
        <v>15</v>
      </c>
      <c r="D491" s="31">
        <v>42278</v>
      </c>
      <c r="E491" s="31">
        <f>C491*D491</f>
        <v>634170</v>
      </c>
      <c r="F491" s="31">
        <f t="shared" si="211"/>
        <v>4427</v>
      </c>
      <c r="G491" s="31">
        <f t="shared" ref="G491:G492" si="215">ROUND((C491*F491),0)</f>
        <v>66405</v>
      </c>
      <c r="H491" s="31">
        <v>16551.61</v>
      </c>
      <c r="I491" s="41">
        <v>2.6150000000000002</v>
      </c>
      <c r="J491" s="31">
        <f t="shared" si="212"/>
        <v>43282.460150000006</v>
      </c>
      <c r="K491" s="31">
        <f t="shared" ref="K491:K492" si="216">C491*J491</f>
        <v>649236.90225000004</v>
      </c>
      <c r="L491" s="31">
        <f t="shared" si="213"/>
        <v>89987.460149999999</v>
      </c>
      <c r="M491" s="31">
        <f t="shared" si="213"/>
        <v>1349811.90225</v>
      </c>
      <c r="N491" s="31"/>
      <c r="O491" s="192">
        <f t="shared" si="214"/>
        <v>1349811.90225</v>
      </c>
    </row>
    <row r="492" spans="1:75" ht="25.5" x14ac:dyDescent="0.2">
      <c r="A492" s="6"/>
      <c r="B492" s="7" t="s">
        <v>303</v>
      </c>
      <c r="C492" s="6">
        <v>1</v>
      </c>
      <c r="D492" s="31">
        <v>155377</v>
      </c>
      <c r="E492" s="31">
        <f t="shared" ref="E492" si="217">C492*D492</f>
        <v>155377</v>
      </c>
      <c r="F492" s="31">
        <f t="shared" si="211"/>
        <v>16270</v>
      </c>
      <c r="G492" s="31">
        <f t="shared" si="215"/>
        <v>16270</v>
      </c>
      <c r="H492" s="31">
        <v>16551.61</v>
      </c>
      <c r="I492" s="41">
        <v>2.6150000000000002</v>
      </c>
      <c r="J492" s="31">
        <f t="shared" si="212"/>
        <v>43282.460150000006</v>
      </c>
      <c r="K492" s="31">
        <f t="shared" si="216"/>
        <v>43282.460150000006</v>
      </c>
      <c r="L492" s="31">
        <f t="shared" ref="L492" si="218">D492+F492+J492</f>
        <v>214929.46015</v>
      </c>
      <c r="M492" s="31">
        <f t="shared" ref="M492" si="219">E492+G492+K492</f>
        <v>214929.46015</v>
      </c>
      <c r="N492" s="31"/>
      <c r="O492" s="192">
        <f t="shared" si="214"/>
        <v>214929.46015</v>
      </c>
    </row>
    <row r="493" spans="1:75" ht="38.25" x14ac:dyDescent="0.2">
      <c r="A493" s="6" t="s">
        <v>97</v>
      </c>
      <c r="B493" s="16" t="s">
        <v>173</v>
      </c>
      <c r="C493" s="6"/>
      <c r="D493" s="31"/>
      <c r="E493" s="31"/>
      <c r="F493" s="31"/>
      <c r="G493" s="31"/>
      <c r="H493" s="31"/>
      <c r="I493" s="41"/>
      <c r="J493" s="31"/>
      <c r="K493" s="31"/>
      <c r="L493" s="31"/>
      <c r="M493" s="31"/>
      <c r="N493" s="31"/>
      <c r="O493" s="192"/>
    </row>
    <row r="494" spans="1:75" ht="19.5" customHeight="1" x14ac:dyDescent="0.2">
      <c r="A494" s="6"/>
      <c r="B494" s="10" t="s">
        <v>280</v>
      </c>
      <c r="C494" s="6">
        <v>28</v>
      </c>
      <c r="D494" s="31">
        <v>48812</v>
      </c>
      <c r="E494" s="31">
        <f t="shared" ref="E494:E498" si="220">C494*D494</f>
        <v>1366736</v>
      </c>
      <c r="F494" s="31">
        <f t="shared" si="211"/>
        <v>5111</v>
      </c>
      <c r="G494" s="31">
        <f t="shared" ref="G494" si="221">ROUND((C494*F494),0)</f>
        <v>143108</v>
      </c>
      <c r="H494" s="31">
        <v>16551.61</v>
      </c>
      <c r="I494" s="41">
        <v>2.6150000000000002</v>
      </c>
      <c r="J494" s="31">
        <f t="shared" ref="J494" si="222">H494*I494</f>
        <v>43282.460150000006</v>
      </c>
      <c r="K494" s="31">
        <f t="shared" ref="K494" si="223">C494*J494</f>
        <v>1211908.8842000002</v>
      </c>
      <c r="L494" s="31">
        <f t="shared" ref="L494:M494" si="224">D494+F494+J494</f>
        <v>97205.460149999999</v>
      </c>
      <c r="M494" s="31">
        <f t="shared" si="224"/>
        <v>2721752.8842000002</v>
      </c>
      <c r="N494" s="31"/>
      <c r="O494" s="192">
        <f t="shared" ref="O494" si="225">M494+N494</f>
        <v>2721752.8842000002</v>
      </c>
    </row>
    <row r="495" spans="1:75" ht="18.75" customHeight="1" x14ac:dyDescent="0.2">
      <c r="A495" s="6"/>
      <c r="B495" s="7" t="s">
        <v>303</v>
      </c>
      <c r="C495" s="6"/>
      <c r="D495" s="31"/>
      <c r="E495" s="31">
        <f t="shared" si="220"/>
        <v>0</v>
      </c>
      <c r="F495" s="31"/>
      <c r="G495" s="31"/>
      <c r="H495" s="31"/>
      <c r="I495" s="41"/>
      <c r="J495" s="31"/>
      <c r="K495" s="31"/>
      <c r="L495" s="31"/>
      <c r="M495" s="31"/>
      <c r="N495" s="31"/>
      <c r="O495" s="192"/>
    </row>
    <row r="496" spans="1:75" ht="17.25" hidden="1" customHeight="1" x14ac:dyDescent="0.2">
      <c r="A496" s="6"/>
      <c r="B496" s="10" t="s">
        <v>156</v>
      </c>
      <c r="C496" s="6"/>
      <c r="D496" s="31"/>
      <c r="E496" s="31">
        <f t="shared" si="220"/>
        <v>0</v>
      </c>
      <c r="F496" s="31"/>
      <c r="G496" s="31"/>
      <c r="H496" s="31"/>
      <c r="I496" s="41"/>
      <c r="J496" s="31"/>
      <c r="K496" s="31"/>
      <c r="L496" s="31"/>
      <c r="M496" s="31"/>
      <c r="N496" s="31"/>
      <c r="O496" s="192"/>
    </row>
    <row r="497" spans="1:75" ht="21" hidden="1" customHeight="1" x14ac:dyDescent="0.2">
      <c r="A497" s="6"/>
      <c r="B497" s="17" t="s">
        <v>157</v>
      </c>
      <c r="C497" s="6"/>
      <c r="D497" s="31"/>
      <c r="E497" s="31">
        <f t="shared" si="220"/>
        <v>0</v>
      </c>
      <c r="F497" s="31"/>
      <c r="G497" s="31"/>
      <c r="H497" s="31"/>
      <c r="I497" s="41"/>
      <c r="J497" s="31"/>
      <c r="K497" s="31"/>
      <c r="L497" s="31"/>
      <c r="M497" s="31"/>
      <c r="N497" s="31"/>
      <c r="O497" s="192"/>
    </row>
    <row r="498" spans="1:75" ht="38.25" hidden="1" x14ac:dyDescent="0.2">
      <c r="A498" s="6" t="s">
        <v>98</v>
      </c>
      <c r="B498" s="16" t="s">
        <v>158</v>
      </c>
      <c r="C498" s="6"/>
      <c r="D498" s="31"/>
      <c r="E498" s="31">
        <f t="shared" si="220"/>
        <v>0</v>
      </c>
      <c r="F498" s="31"/>
      <c r="G498" s="31"/>
      <c r="H498" s="31"/>
      <c r="I498" s="41"/>
      <c r="J498" s="31"/>
      <c r="K498" s="31"/>
      <c r="L498" s="31"/>
      <c r="M498" s="31"/>
      <c r="N498" s="31"/>
      <c r="O498" s="192"/>
    </row>
    <row r="499" spans="1:75" s="11" customFormat="1" ht="16.5" customHeight="1" x14ac:dyDescent="0.2">
      <c r="A499" s="4">
        <v>5</v>
      </c>
      <c r="B499" s="5" t="s">
        <v>174</v>
      </c>
      <c r="C499" s="4">
        <f>SUM(C500:C508)</f>
        <v>86</v>
      </c>
      <c r="D499" s="32"/>
      <c r="E499" s="32">
        <f>SUM(E500:E508)</f>
        <v>5071833</v>
      </c>
      <c r="F499" s="31"/>
      <c r="G499" s="32">
        <f>SUM(G500:G508)</f>
        <v>531073</v>
      </c>
      <c r="H499" s="32"/>
      <c r="I499" s="47"/>
      <c r="J499" s="31"/>
      <c r="K499" s="32">
        <f>SUM(K500:K508)</f>
        <v>3722291.5729000005</v>
      </c>
      <c r="L499" s="32"/>
      <c r="M499" s="32">
        <f>SUM(M500:M508)</f>
        <v>9325197.572900001</v>
      </c>
      <c r="N499" s="32"/>
      <c r="O499" s="190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  <c r="BA499" s="201"/>
      <c r="BB499" s="201"/>
      <c r="BC499" s="201"/>
      <c r="BD499" s="201"/>
      <c r="BE499" s="201"/>
      <c r="BF499" s="201"/>
      <c r="BG499" s="201"/>
      <c r="BH499" s="201"/>
      <c r="BI499" s="201"/>
      <c r="BJ499" s="201"/>
      <c r="BK499" s="201"/>
      <c r="BL499" s="201"/>
      <c r="BM499" s="201"/>
      <c r="BN499" s="201"/>
      <c r="BO499" s="201"/>
      <c r="BP499" s="201"/>
      <c r="BQ499" s="201"/>
      <c r="BR499" s="201"/>
      <c r="BS499" s="201"/>
      <c r="BT499" s="201"/>
      <c r="BU499" s="201"/>
      <c r="BV499" s="201"/>
      <c r="BW499" s="201"/>
    </row>
    <row r="500" spans="1:75" ht="25.5" x14ac:dyDescent="0.2">
      <c r="A500" s="6" t="s">
        <v>99</v>
      </c>
      <c r="B500" s="14" t="s">
        <v>160</v>
      </c>
      <c r="C500" s="6"/>
      <c r="D500" s="31"/>
      <c r="E500" s="31"/>
      <c r="F500" s="31"/>
      <c r="G500" s="31"/>
      <c r="H500" s="31"/>
      <c r="I500" s="41"/>
      <c r="J500" s="31"/>
      <c r="K500" s="31"/>
      <c r="L500" s="31"/>
      <c r="M500" s="31"/>
      <c r="N500" s="31"/>
      <c r="O500" s="192"/>
    </row>
    <row r="501" spans="1:75" ht="13.5" customHeight="1" x14ac:dyDescent="0.2">
      <c r="A501" s="6"/>
      <c r="B501" s="10" t="s">
        <v>280</v>
      </c>
      <c r="C501" s="6">
        <v>13</v>
      </c>
      <c r="D501" s="31">
        <v>53434</v>
      </c>
      <c r="E501" s="31">
        <f>C501*D501</f>
        <v>694642</v>
      </c>
      <c r="F501" s="31">
        <f t="shared" ref="F501:F502" si="226">ROUND((D501*10.47143%),0)</f>
        <v>5595</v>
      </c>
      <c r="G501" s="31">
        <f t="shared" ref="G501:G502" si="227">ROUND((C501*F501),0)</f>
        <v>72735</v>
      </c>
      <c r="H501" s="31">
        <v>16551.61</v>
      </c>
      <c r="I501" s="41">
        <v>2.6150000000000002</v>
      </c>
      <c r="J501" s="31">
        <f t="shared" ref="J501:J502" si="228">H501*I501</f>
        <v>43282.460150000006</v>
      </c>
      <c r="K501" s="31">
        <f t="shared" ref="K501:K502" si="229">C501*J501</f>
        <v>562671.98195000004</v>
      </c>
      <c r="L501" s="31">
        <f t="shared" ref="L501:M502" si="230">D501+F501+J501</f>
        <v>102311.46015</v>
      </c>
      <c r="M501" s="31">
        <f t="shared" si="230"/>
        <v>1330048.9819499999</v>
      </c>
      <c r="N501" s="31"/>
      <c r="O501" s="192">
        <f t="shared" ref="O501:O502" si="231">M501+N501</f>
        <v>1330048.9819499999</v>
      </c>
    </row>
    <row r="502" spans="1:75" x14ac:dyDescent="0.2">
      <c r="A502" s="6"/>
      <c r="B502" s="103" t="s">
        <v>309</v>
      </c>
      <c r="C502" s="6">
        <v>32</v>
      </c>
      <c r="D502" s="31">
        <v>53434</v>
      </c>
      <c r="E502" s="31">
        <f>C502*D502</f>
        <v>1709888</v>
      </c>
      <c r="F502" s="31">
        <f t="shared" si="226"/>
        <v>5595</v>
      </c>
      <c r="G502" s="31">
        <f t="shared" si="227"/>
        <v>179040</v>
      </c>
      <c r="H502" s="31">
        <v>16551.61</v>
      </c>
      <c r="I502" s="41">
        <v>2.6150000000000002</v>
      </c>
      <c r="J502" s="31">
        <f t="shared" si="228"/>
        <v>43282.460150000006</v>
      </c>
      <c r="K502" s="31">
        <f t="shared" si="229"/>
        <v>1385038.7248000002</v>
      </c>
      <c r="L502" s="31">
        <f t="shared" si="230"/>
        <v>102311.46015</v>
      </c>
      <c r="M502" s="31">
        <f t="shared" si="230"/>
        <v>3273966.7248</v>
      </c>
      <c r="N502" s="31"/>
      <c r="O502" s="192">
        <f t="shared" si="231"/>
        <v>3273966.7248</v>
      </c>
    </row>
    <row r="503" spans="1:75" ht="18.75" hidden="1" customHeight="1" x14ac:dyDescent="0.2">
      <c r="A503" s="6"/>
      <c r="B503" s="7" t="s">
        <v>92</v>
      </c>
      <c r="C503" s="6"/>
      <c r="D503" s="31"/>
      <c r="E503" s="31"/>
      <c r="F503" s="31"/>
      <c r="G503" s="31"/>
      <c r="H503" s="31">
        <v>16551.61</v>
      </c>
      <c r="I503" s="41">
        <v>2.2229999999999999</v>
      </c>
      <c r="J503" s="31"/>
      <c r="K503" s="31"/>
      <c r="L503" s="31"/>
      <c r="M503" s="31"/>
      <c r="N503" s="31"/>
      <c r="O503" s="192"/>
    </row>
    <row r="504" spans="1:75" ht="19.5" hidden="1" customHeight="1" x14ac:dyDescent="0.2">
      <c r="A504" s="6"/>
      <c r="B504" s="103" t="s">
        <v>156</v>
      </c>
      <c r="C504" s="6"/>
      <c r="D504" s="31"/>
      <c r="E504" s="31"/>
      <c r="F504" s="31"/>
      <c r="G504" s="31"/>
      <c r="H504" s="31">
        <v>16551.61</v>
      </c>
      <c r="I504" s="41">
        <v>2.2229999999999999</v>
      </c>
      <c r="J504" s="31"/>
      <c r="K504" s="31"/>
      <c r="L504" s="31"/>
      <c r="M504" s="31"/>
      <c r="N504" s="31"/>
      <c r="O504" s="192"/>
    </row>
    <row r="505" spans="1:75" ht="18.75" hidden="1" customHeight="1" x14ac:dyDescent="0.2">
      <c r="A505" s="6"/>
      <c r="B505" s="7" t="s">
        <v>157</v>
      </c>
      <c r="C505" s="6"/>
      <c r="D505" s="31"/>
      <c r="E505" s="31"/>
      <c r="F505" s="31"/>
      <c r="G505" s="31"/>
      <c r="H505" s="31">
        <v>16551.61</v>
      </c>
      <c r="I505" s="41">
        <v>2.2229999999999999</v>
      </c>
      <c r="J505" s="31"/>
      <c r="K505" s="31"/>
      <c r="L505" s="31"/>
      <c r="M505" s="31"/>
      <c r="N505" s="31"/>
      <c r="O505" s="192"/>
    </row>
    <row r="506" spans="1:75" ht="38.25" x14ac:dyDescent="0.2">
      <c r="A506" s="6" t="s">
        <v>100</v>
      </c>
      <c r="B506" s="16" t="s">
        <v>175</v>
      </c>
      <c r="C506" s="6"/>
      <c r="D506" s="31"/>
      <c r="E506" s="31"/>
      <c r="F506" s="31"/>
      <c r="G506" s="31"/>
      <c r="H506" s="31"/>
      <c r="I506" s="41"/>
      <c r="J506" s="31"/>
      <c r="K506" s="31"/>
      <c r="L506" s="31"/>
      <c r="M506" s="31"/>
      <c r="N506" s="31"/>
      <c r="O506" s="192"/>
    </row>
    <row r="507" spans="1:75" x14ac:dyDescent="0.2">
      <c r="A507" s="6"/>
      <c r="B507" s="10" t="s">
        <v>280</v>
      </c>
      <c r="C507" s="6">
        <v>40</v>
      </c>
      <c r="D507" s="31">
        <v>61827</v>
      </c>
      <c r="E507" s="31">
        <f>C507*D507</f>
        <v>2473080</v>
      </c>
      <c r="F507" s="31">
        <f t="shared" ref="F507:F508" si="232">ROUND((D507*10.47143%),0)</f>
        <v>6474</v>
      </c>
      <c r="G507" s="31">
        <f t="shared" ref="G507:G508" si="233">ROUND((C507*F507),0)</f>
        <v>258960</v>
      </c>
      <c r="H507" s="31">
        <v>16551.61</v>
      </c>
      <c r="I507" s="41">
        <v>2.6150000000000002</v>
      </c>
      <c r="J507" s="31">
        <f t="shared" ref="J507:J508" si="234">H507*I507</f>
        <v>43282.460150000006</v>
      </c>
      <c r="K507" s="31">
        <f t="shared" ref="K507:K508" si="235">C507*J507</f>
        <v>1731298.4060000002</v>
      </c>
      <c r="L507" s="31">
        <f t="shared" ref="L507:M508" si="236">D507+F507+J507</f>
        <v>111583.46015</v>
      </c>
      <c r="M507" s="31">
        <f t="shared" si="236"/>
        <v>4463338.4060000004</v>
      </c>
      <c r="N507" s="31"/>
      <c r="O507" s="192">
        <f t="shared" ref="O507:O508" si="237">M507+N507</f>
        <v>4463338.4060000004</v>
      </c>
    </row>
    <row r="508" spans="1:75" ht="25.5" x14ac:dyDescent="0.2">
      <c r="A508" s="6"/>
      <c r="B508" s="7" t="s">
        <v>303</v>
      </c>
      <c r="C508" s="6">
        <v>1</v>
      </c>
      <c r="D508" s="31">
        <v>194223</v>
      </c>
      <c r="E508" s="31">
        <f>C508*D508</f>
        <v>194223</v>
      </c>
      <c r="F508" s="31">
        <f t="shared" si="232"/>
        <v>20338</v>
      </c>
      <c r="G508" s="31">
        <f t="shared" si="233"/>
        <v>20338</v>
      </c>
      <c r="H508" s="31">
        <v>16551.61</v>
      </c>
      <c r="I508" s="41">
        <v>2.6150000000000002</v>
      </c>
      <c r="J508" s="31">
        <f t="shared" si="234"/>
        <v>43282.460150000006</v>
      </c>
      <c r="K508" s="31">
        <f t="shared" si="235"/>
        <v>43282.460150000006</v>
      </c>
      <c r="L508" s="31">
        <f t="shared" si="236"/>
        <v>257843.46015</v>
      </c>
      <c r="M508" s="31">
        <f t="shared" si="236"/>
        <v>257843.46015</v>
      </c>
      <c r="N508" s="31"/>
      <c r="O508" s="192">
        <f t="shared" si="237"/>
        <v>257843.46015</v>
      </c>
    </row>
    <row r="509" spans="1:75" hidden="1" x14ac:dyDescent="0.2">
      <c r="A509" s="6"/>
      <c r="B509" s="10" t="s">
        <v>156</v>
      </c>
      <c r="C509" s="6"/>
      <c r="D509" s="31"/>
      <c r="E509" s="31"/>
      <c r="F509" s="31"/>
      <c r="G509" s="31"/>
      <c r="H509" s="31">
        <v>16551.61</v>
      </c>
      <c r="I509" s="41">
        <v>2.2229999999999999</v>
      </c>
      <c r="J509" s="31"/>
      <c r="K509" s="31"/>
      <c r="L509" s="31"/>
      <c r="M509" s="31"/>
      <c r="N509" s="31"/>
      <c r="O509" s="192"/>
    </row>
    <row r="510" spans="1:75" hidden="1" x14ac:dyDescent="0.2">
      <c r="A510" s="6"/>
      <c r="B510" s="17" t="s">
        <v>157</v>
      </c>
      <c r="C510" s="6"/>
      <c r="D510" s="31"/>
      <c r="E510" s="31"/>
      <c r="F510" s="31"/>
      <c r="G510" s="31"/>
      <c r="H510" s="31">
        <v>16551.61</v>
      </c>
      <c r="I510" s="41">
        <v>2.2229999999999999</v>
      </c>
      <c r="J510" s="31"/>
      <c r="K510" s="31"/>
      <c r="L510" s="31"/>
      <c r="M510" s="31"/>
      <c r="N510" s="31"/>
      <c r="O510" s="192"/>
    </row>
    <row r="511" spans="1:75" ht="38.25" hidden="1" x14ac:dyDescent="0.2">
      <c r="A511" s="6" t="s">
        <v>101</v>
      </c>
      <c r="B511" s="103" t="s">
        <v>162</v>
      </c>
      <c r="C511" s="6"/>
      <c r="D511" s="31"/>
      <c r="E511" s="31"/>
      <c r="F511" s="31"/>
      <c r="G511" s="31"/>
      <c r="H511" s="31">
        <v>16551.61</v>
      </c>
      <c r="I511" s="41">
        <v>2.2229999999999999</v>
      </c>
      <c r="J511" s="31"/>
      <c r="K511" s="31"/>
      <c r="L511" s="31"/>
      <c r="M511" s="31"/>
      <c r="N511" s="31"/>
      <c r="O511" s="192"/>
    </row>
    <row r="512" spans="1:75" s="11" customFormat="1" ht="21" customHeight="1" x14ac:dyDescent="0.2">
      <c r="A512" s="4">
        <v>6</v>
      </c>
      <c r="B512" s="5" t="s">
        <v>170</v>
      </c>
      <c r="C512" s="4">
        <f>SUM(C513:C516)</f>
        <v>16</v>
      </c>
      <c r="D512" s="32"/>
      <c r="E512" s="32">
        <f>SUM(E513:E516)</f>
        <v>921872</v>
      </c>
      <c r="F512" s="31"/>
      <c r="G512" s="32">
        <f>SUM(G513:G516)</f>
        <v>96528</v>
      </c>
      <c r="H512" s="32"/>
      <c r="I512" s="47"/>
      <c r="J512" s="31"/>
      <c r="K512" s="32">
        <f>SUM(K513:K516)</f>
        <v>692519.3624000001</v>
      </c>
      <c r="L512" s="32"/>
      <c r="M512" s="32">
        <f>SUM(M513:M516)</f>
        <v>1710919.3624</v>
      </c>
      <c r="N512" s="32"/>
      <c r="O512" s="190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1"/>
      <c r="AZ512" s="201"/>
      <c r="BA512" s="201"/>
      <c r="BB512" s="201"/>
      <c r="BC512" s="201"/>
      <c r="BD512" s="201"/>
      <c r="BE512" s="201"/>
      <c r="BF512" s="201"/>
      <c r="BG512" s="201"/>
      <c r="BH512" s="201"/>
      <c r="BI512" s="201"/>
      <c r="BJ512" s="201"/>
      <c r="BK512" s="201"/>
      <c r="BL512" s="201"/>
      <c r="BM512" s="201"/>
      <c r="BN512" s="201"/>
      <c r="BO512" s="201"/>
      <c r="BP512" s="201"/>
      <c r="BQ512" s="201"/>
      <c r="BR512" s="201"/>
      <c r="BS512" s="201"/>
      <c r="BT512" s="201"/>
      <c r="BU512" s="201"/>
      <c r="BV512" s="201"/>
      <c r="BW512" s="201"/>
    </row>
    <row r="513" spans="1:75" ht="25.5" x14ac:dyDescent="0.2">
      <c r="A513" s="6" t="s">
        <v>102</v>
      </c>
      <c r="B513" s="14" t="s">
        <v>166</v>
      </c>
      <c r="C513" s="6"/>
      <c r="D513" s="31"/>
      <c r="E513" s="31"/>
      <c r="F513" s="31"/>
      <c r="G513" s="31"/>
      <c r="H513" s="31"/>
      <c r="I513" s="41"/>
      <c r="J513" s="31"/>
      <c r="K513" s="31"/>
      <c r="L513" s="31"/>
      <c r="M513" s="31"/>
      <c r="N513" s="31"/>
      <c r="O513" s="192"/>
    </row>
    <row r="514" spans="1:75" hidden="1" x14ac:dyDescent="0.2">
      <c r="A514" s="6"/>
      <c r="B514" s="103" t="s">
        <v>91</v>
      </c>
      <c r="C514" s="6"/>
      <c r="D514" s="31"/>
      <c r="E514" s="31"/>
      <c r="F514" s="31"/>
      <c r="G514" s="31"/>
      <c r="H514" s="31"/>
      <c r="I514" s="41"/>
      <c r="J514" s="31"/>
      <c r="K514" s="31"/>
      <c r="L514" s="31"/>
      <c r="M514" s="31"/>
      <c r="N514" s="31"/>
      <c r="O514" s="192"/>
    </row>
    <row r="515" spans="1:75" hidden="1" x14ac:dyDescent="0.2">
      <c r="A515" s="6"/>
      <c r="B515" s="7" t="s">
        <v>92</v>
      </c>
      <c r="C515" s="6"/>
      <c r="D515" s="31"/>
      <c r="E515" s="31"/>
      <c r="F515" s="31"/>
      <c r="G515" s="31"/>
      <c r="H515" s="31"/>
      <c r="I515" s="41"/>
      <c r="J515" s="31"/>
      <c r="K515" s="31"/>
      <c r="L515" s="31"/>
      <c r="M515" s="31"/>
      <c r="N515" s="31"/>
      <c r="O515" s="192"/>
    </row>
    <row r="516" spans="1:75" x14ac:dyDescent="0.2">
      <c r="A516" s="6"/>
      <c r="B516" s="10" t="s">
        <v>280</v>
      </c>
      <c r="C516" s="6">
        <v>16</v>
      </c>
      <c r="D516" s="31">
        <v>57617</v>
      </c>
      <c r="E516" s="31">
        <f>C516*D516</f>
        <v>921872</v>
      </c>
      <c r="F516" s="31">
        <f t="shared" ref="F516" si="238">ROUND((D516*10.47143%),0)</f>
        <v>6033</v>
      </c>
      <c r="G516" s="31">
        <f t="shared" ref="G516" si="239">ROUND((C516*F516),0)</f>
        <v>96528</v>
      </c>
      <c r="H516" s="31">
        <v>16551.61</v>
      </c>
      <c r="I516" s="41">
        <v>2.6150000000000002</v>
      </c>
      <c r="J516" s="31">
        <f t="shared" ref="J516" si="240">H516*I516</f>
        <v>43282.460150000006</v>
      </c>
      <c r="K516" s="31">
        <f t="shared" ref="K516" si="241">C516*J516</f>
        <v>692519.3624000001</v>
      </c>
      <c r="L516" s="31">
        <f t="shared" ref="L516:M516" si="242">D516+F516+J516</f>
        <v>106932.46015</v>
      </c>
      <c r="M516" s="31">
        <f t="shared" si="242"/>
        <v>1710919.3624</v>
      </c>
      <c r="N516" s="31"/>
      <c r="O516" s="192">
        <f t="shared" ref="O516" si="243">M516+N516</f>
        <v>1710919.3624</v>
      </c>
    </row>
    <row r="517" spans="1:75" hidden="1" x14ac:dyDescent="0.2">
      <c r="A517" s="6"/>
      <c r="B517" s="7" t="s">
        <v>157</v>
      </c>
      <c r="C517" s="6"/>
      <c r="D517" s="31"/>
      <c r="E517" s="31"/>
      <c r="F517" s="31"/>
      <c r="G517" s="31"/>
      <c r="H517" s="31"/>
      <c r="I517" s="41"/>
      <c r="J517" s="31"/>
      <c r="K517" s="31"/>
      <c r="L517" s="31"/>
      <c r="M517" s="31"/>
      <c r="N517" s="31"/>
      <c r="O517" s="192"/>
    </row>
    <row r="518" spans="1:75" ht="38.25" hidden="1" x14ac:dyDescent="0.2">
      <c r="A518" s="6" t="s">
        <v>103</v>
      </c>
      <c r="B518" s="16" t="s">
        <v>175</v>
      </c>
      <c r="C518" s="6"/>
      <c r="D518" s="31"/>
      <c r="E518" s="31"/>
      <c r="F518" s="31"/>
      <c r="G518" s="31"/>
      <c r="H518" s="31"/>
      <c r="I518" s="41"/>
      <c r="J518" s="31"/>
      <c r="K518" s="31"/>
      <c r="L518" s="31"/>
      <c r="M518" s="31"/>
      <c r="N518" s="31"/>
      <c r="O518" s="192"/>
    </row>
    <row r="519" spans="1:75" hidden="1" x14ac:dyDescent="0.2">
      <c r="A519" s="6"/>
      <c r="B519" s="10" t="s">
        <v>91</v>
      </c>
      <c r="C519" s="6"/>
      <c r="D519" s="31"/>
      <c r="E519" s="31"/>
      <c r="F519" s="31"/>
      <c r="G519" s="31"/>
      <c r="H519" s="31"/>
      <c r="I519" s="41"/>
      <c r="J519" s="31"/>
      <c r="K519" s="31"/>
      <c r="L519" s="31"/>
      <c r="M519" s="31"/>
      <c r="N519" s="31"/>
      <c r="O519" s="192"/>
    </row>
    <row r="520" spans="1:75" hidden="1" x14ac:dyDescent="0.2">
      <c r="A520" s="6"/>
      <c r="B520" s="17" t="s">
        <v>92</v>
      </c>
      <c r="C520" s="6"/>
      <c r="D520" s="31"/>
      <c r="E520" s="31"/>
      <c r="F520" s="31"/>
      <c r="G520" s="31"/>
      <c r="H520" s="31"/>
      <c r="I520" s="41"/>
      <c r="J520" s="31"/>
      <c r="K520" s="31"/>
      <c r="L520" s="31"/>
      <c r="M520" s="31"/>
      <c r="N520" s="31"/>
      <c r="O520" s="192"/>
    </row>
    <row r="521" spans="1:75" hidden="1" x14ac:dyDescent="0.2">
      <c r="A521" s="6"/>
      <c r="B521" s="10" t="s">
        <v>156</v>
      </c>
      <c r="C521" s="6"/>
      <c r="D521" s="31"/>
      <c r="E521" s="31"/>
      <c r="F521" s="31"/>
      <c r="G521" s="31"/>
      <c r="H521" s="31"/>
      <c r="I521" s="41"/>
      <c r="J521" s="31"/>
      <c r="K521" s="31"/>
      <c r="L521" s="31"/>
      <c r="M521" s="31"/>
      <c r="N521" s="31"/>
      <c r="O521" s="192"/>
    </row>
    <row r="522" spans="1:75" hidden="1" x14ac:dyDescent="0.2">
      <c r="A522" s="6"/>
      <c r="B522" s="17" t="s">
        <v>157</v>
      </c>
      <c r="C522" s="6"/>
      <c r="D522" s="31"/>
      <c r="E522" s="31"/>
      <c r="F522" s="31"/>
      <c r="G522" s="31"/>
      <c r="H522" s="31"/>
      <c r="I522" s="41"/>
      <c r="J522" s="31"/>
      <c r="K522" s="31"/>
      <c r="L522" s="31"/>
      <c r="M522" s="31"/>
      <c r="N522" s="31"/>
      <c r="O522" s="192"/>
    </row>
    <row r="523" spans="1:75" ht="38.25" hidden="1" x14ac:dyDescent="0.2">
      <c r="A523" s="6" t="s">
        <v>104</v>
      </c>
      <c r="B523" s="103" t="s">
        <v>168</v>
      </c>
      <c r="C523" s="6"/>
      <c r="D523" s="31"/>
      <c r="E523" s="31"/>
      <c r="F523" s="31"/>
      <c r="G523" s="31"/>
      <c r="H523" s="31"/>
      <c r="I523" s="41"/>
      <c r="J523" s="31"/>
      <c r="K523" s="31"/>
      <c r="L523" s="31"/>
      <c r="M523" s="31"/>
      <c r="N523" s="31"/>
      <c r="O523" s="192"/>
    </row>
    <row r="524" spans="1:75" ht="18" customHeight="1" x14ac:dyDescent="0.2">
      <c r="B524" s="18" t="s">
        <v>198</v>
      </c>
      <c r="C524" s="88">
        <f>C488+C499+C512</f>
        <v>154</v>
      </c>
      <c r="D524" s="48"/>
      <c r="E524" s="48">
        <f>E488+E499+E512</f>
        <v>8488212</v>
      </c>
      <c r="F524" s="48"/>
      <c r="G524" s="48">
        <f>G488+G499+G512</f>
        <v>888800</v>
      </c>
      <c r="H524" s="48"/>
      <c r="I524" s="143"/>
      <c r="J524" s="48"/>
      <c r="K524" s="48">
        <f>K488+K499+K512</f>
        <v>6667038.0031000013</v>
      </c>
      <c r="L524" s="48"/>
      <c r="M524" s="48">
        <f>M488+M499+M512</f>
        <v>16044050.0031</v>
      </c>
      <c r="N524" s="48">
        <v>343000</v>
      </c>
      <c r="O524" s="146">
        <f>M524+N524</f>
        <v>16387050.0031</v>
      </c>
    </row>
    <row r="525" spans="1:75" s="11" customFormat="1" ht="15.75" customHeight="1" x14ac:dyDescent="0.2">
      <c r="A525" s="4" t="s">
        <v>172</v>
      </c>
      <c r="B525" s="18" t="s">
        <v>199</v>
      </c>
      <c r="C525" s="4">
        <f>SUM(C526:C532)</f>
        <v>92</v>
      </c>
      <c r="D525" s="32"/>
      <c r="E525" s="32">
        <f>SUM(E526:E532)</f>
        <v>4358301</v>
      </c>
      <c r="F525" s="31"/>
      <c r="G525" s="32">
        <f>SUM(G526:G532)</f>
        <v>456369</v>
      </c>
      <c r="H525" s="32"/>
      <c r="I525" s="47"/>
      <c r="J525" s="32"/>
      <c r="K525" s="32">
        <f>SUM(K526:K532)</f>
        <v>3678770.8236799994</v>
      </c>
      <c r="L525" s="32"/>
      <c r="M525" s="32">
        <f>SUM(M526:M532)</f>
        <v>8493440.8236799985</v>
      </c>
      <c r="N525" s="32"/>
      <c r="O525" s="190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  <c r="BD525" s="201"/>
      <c r="BE525" s="201"/>
      <c r="BF525" s="201"/>
      <c r="BG525" s="201"/>
      <c r="BH525" s="201"/>
      <c r="BI525" s="201"/>
      <c r="BJ525" s="201"/>
      <c r="BK525" s="201"/>
      <c r="BL525" s="201"/>
      <c r="BM525" s="201"/>
      <c r="BN525" s="201"/>
      <c r="BO525" s="201"/>
      <c r="BP525" s="201"/>
      <c r="BQ525" s="201"/>
      <c r="BR525" s="201"/>
      <c r="BS525" s="201"/>
      <c r="BT525" s="201"/>
      <c r="BU525" s="201"/>
      <c r="BV525" s="201"/>
      <c r="BW525" s="201"/>
    </row>
    <row r="526" spans="1:75" ht="25.5" x14ac:dyDescent="0.2">
      <c r="A526" s="6" t="s">
        <v>96</v>
      </c>
      <c r="B526" s="16" t="s">
        <v>154</v>
      </c>
      <c r="C526" s="6"/>
      <c r="D526" s="31"/>
      <c r="E526" s="31"/>
      <c r="F526" s="31"/>
      <c r="G526" s="31"/>
      <c r="H526" s="31"/>
      <c r="I526" s="41"/>
      <c r="J526" s="31"/>
      <c r="K526" s="31"/>
      <c r="L526" s="31"/>
      <c r="M526" s="31"/>
      <c r="N526" s="31"/>
      <c r="O526" s="192"/>
    </row>
    <row r="527" spans="1:75" ht="15.75" customHeight="1" x14ac:dyDescent="0.2">
      <c r="A527" s="6"/>
      <c r="B527" s="10" t="s">
        <v>280</v>
      </c>
      <c r="C527" s="6">
        <v>8</v>
      </c>
      <c r="D527" s="31">
        <v>42278</v>
      </c>
      <c r="E527" s="31">
        <f>C527*D527+24</f>
        <v>338248</v>
      </c>
      <c r="F527" s="31">
        <f t="shared" ref="F527:F528" si="244">ROUND((D527*10.47143%),0)</f>
        <v>4427</v>
      </c>
      <c r="G527" s="31">
        <f>ROUND((C527*F527),0)</f>
        <v>35416</v>
      </c>
      <c r="H527" s="31">
        <v>16551.61</v>
      </c>
      <c r="I527" s="41">
        <v>2.0139999999999998</v>
      </c>
      <c r="J527" s="31">
        <f t="shared" ref="J527:J528" si="245">H527*I527</f>
        <v>33334.942539999996</v>
      </c>
      <c r="K527" s="31">
        <f>C527*J527+611956.11</f>
        <v>878635.65032000002</v>
      </c>
      <c r="L527" s="31">
        <f t="shared" ref="L527:O528" si="246">D527+F527+J527</f>
        <v>80039.942539999989</v>
      </c>
      <c r="M527" s="31">
        <f t="shared" si="246"/>
        <v>1252299.65032</v>
      </c>
      <c r="N527" s="31"/>
      <c r="O527" s="192">
        <f t="shared" si="246"/>
        <v>1287717.66432</v>
      </c>
    </row>
    <row r="528" spans="1:75" x14ac:dyDescent="0.2">
      <c r="A528" s="6"/>
      <c r="B528" s="103" t="s">
        <v>309</v>
      </c>
      <c r="C528" s="6">
        <v>30</v>
      </c>
      <c r="D528" s="31">
        <v>42588</v>
      </c>
      <c r="E528" s="31">
        <f>C528*D528</f>
        <v>1277640</v>
      </c>
      <c r="F528" s="31">
        <f t="shared" si="244"/>
        <v>4460</v>
      </c>
      <c r="G528" s="31">
        <f t="shared" ref="G528" si="247">ROUND((C528*F528),0)</f>
        <v>133800</v>
      </c>
      <c r="H528" s="31">
        <v>16551.61</v>
      </c>
      <c r="I528" s="41">
        <v>2.0139999999999998</v>
      </c>
      <c r="J528" s="31">
        <f t="shared" si="245"/>
        <v>33334.942539999996</v>
      </c>
      <c r="K528" s="31">
        <f t="shared" ref="K528" si="248">C528*J528</f>
        <v>1000048.2761999998</v>
      </c>
      <c r="L528" s="31">
        <f t="shared" si="246"/>
        <v>80382.942539999989</v>
      </c>
      <c r="M528" s="31">
        <f t="shared" si="246"/>
        <v>2411488.2761999997</v>
      </c>
      <c r="N528" s="31"/>
      <c r="O528" s="192">
        <f t="shared" ref="O528" si="249">M528+N528</f>
        <v>2411488.2761999997</v>
      </c>
    </row>
    <row r="529" spans="1:75" hidden="1" x14ac:dyDescent="0.2">
      <c r="A529" s="6"/>
      <c r="B529" s="17" t="s">
        <v>92</v>
      </c>
      <c r="C529" s="6"/>
      <c r="D529" s="31"/>
      <c r="E529" s="31"/>
      <c r="F529" s="31"/>
      <c r="G529" s="31"/>
      <c r="H529" s="31"/>
      <c r="I529" s="41"/>
      <c r="J529" s="31"/>
      <c r="K529" s="31"/>
      <c r="L529" s="31"/>
      <c r="M529" s="31"/>
      <c r="N529" s="31"/>
      <c r="O529" s="192"/>
    </row>
    <row r="530" spans="1:75" ht="38.25" x14ac:dyDescent="0.2">
      <c r="A530" s="6" t="s">
        <v>97</v>
      </c>
      <c r="B530" s="16" t="s">
        <v>173</v>
      </c>
      <c r="C530" s="6"/>
      <c r="D530" s="31"/>
      <c r="E530" s="31"/>
      <c r="F530" s="31"/>
      <c r="G530" s="31"/>
      <c r="H530" s="31"/>
      <c r="I530" s="41"/>
      <c r="J530" s="31"/>
      <c r="K530" s="31"/>
      <c r="L530" s="31"/>
      <c r="M530" s="31"/>
      <c r="N530" s="31"/>
      <c r="O530" s="192"/>
    </row>
    <row r="531" spans="1:75" ht="23.25" customHeight="1" x14ac:dyDescent="0.2">
      <c r="A531" s="6"/>
      <c r="B531" s="10" t="s">
        <v>280</v>
      </c>
      <c r="C531" s="6">
        <v>53</v>
      </c>
      <c r="D531" s="31">
        <v>48812</v>
      </c>
      <c r="E531" s="31">
        <f>C531*D531</f>
        <v>2587036</v>
      </c>
      <c r="F531" s="31">
        <f t="shared" ref="F531:F532" si="250">ROUND((D531*10.47143%),0)</f>
        <v>5111</v>
      </c>
      <c r="G531" s="31">
        <f t="shared" ref="G531:G532" si="251">ROUND((C531*F531),0)</f>
        <v>270883</v>
      </c>
      <c r="H531" s="31">
        <v>16551.61</v>
      </c>
      <c r="I531" s="41">
        <v>2.0139999999999998</v>
      </c>
      <c r="J531" s="31">
        <f t="shared" ref="J531:J532" si="252">H531*I531</f>
        <v>33334.942539999996</v>
      </c>
      <c r="K531" s="31">
        <f t="shared" ref="K531:K532" si="253">C531*J531</f>
        <v>1766751.9546199997</v>
      </c>
      <c r="L531" s="31">
        <f t="shared" ref="L531:M532" si="254">D531+F531+J531</f>
        <v>87257.942539999989</v>
      </c>
      <c r="M531" s="31">
        <f t="shared" si="254"/>
        <v>4624670.95462</v>
      </c>
      <c r="N531" s="31"/>
      <c r="O531" s="192">
        <f t="shared" ref="O531:O532" si="255">G531+I531+M531</f>
        <v>4895555.9686200004</v>
      </c>
    </row>
    <row r="532" spans="1:75" ht="25.5" x14ac:dyDescent="0.2">
      <c r="A532" s="6"/>
      <c r="B532" s="7" t="s">
        <v>281</v>
      </c>
      <c r="C532" s="6">
        <v>1</v>
      </c>
      <c r="D532" s="31">
        <v>155377</v>
      </c>
      <c r="E532" s="31">
        <f>C532*D532</f>
        <v>155377</v>
      </c>
      <c r="F532" s="31">
        <f t="shared" si="250"/>
        <v>16270</v>
      </c>
      <c r="G532" s="31">
        <f t="shared" si="251"/>
        <v>16270</v>
      </c>
      <c r="H532" s="31">
        <v>16551.61</v>
      </c>
      <c r="I532" s="41">
        <v>2.0139999999999998</v>
      </c>
      <c r="J532" s="31">
        <f t="shared" si="252"/>
        <v>33334.942539999996</v>
      </c>
      <c r="K532" s="31">
        <f t="shared" si="253"/>
        <v>33334.942539999996</v>
      </c>
      <c r="L532" s="31">
        <f t="shared" si="254"/>
        <v>204981.94253999999</v>
      </c>
      <c r="M532" s="31">
        <f t="shared" si="254"/>
        <v>204981.94253999999</v>
      </c>
      <c r="N532" s="31"/>
      <c r="O532" s="192">
        <f t="shared" si="255"/>
        <v>221253.95653999998</v>
      </c>
    </row>
    <row r="533" spans="1:75" hidden="1" x14ac:dyDescent="0.2">
      <c r="A533" s="6"/>
      <c r="B533" s="17" t="s">
        <v>92</v>
      </c>
      <c r="C533" s="6"/>
      <c r="D533" s="31"/>
      <c r="E533" s="31"/>
      <c r="F533" s="31"/>
      <c r="G533" s="31"/>
      <c r="H533" s="31"/>
      <c r="I533" s="41"/>
      <c r="J533" s="31"/>
      <c r="K533" s="31"/>
      <c r="L533" s="31"/>
      <c r="M533" s="31"/>
      <c r="N533" s="31"/>
      <c r="O533" s="192"/>
    </row>
    <row r="534" spans="1:75" hidden="1" x14ac:dyDescent="0.2">
      <c r="A534" s="6"/>
      <c r="B534" s="10" t="s">
        <v>156</v>
      </c>
      <c r="C534" s="6"/>
      <c r="D534" s="31"/>
      <c r="E534" s="31"/>
      <c r="F534" s="31"/>
      <c r="G534" s="31"/>
      <c r="H534" s="31"/>
      <c r="I534" s="41"/>
      <c r="J534" s="31"/>
      <c r="K534" s="31"/>
      <c r="L534" s="31"/>
      <c r="M534" s="31"/>
      <c r="N534" s="31"/>
      <c r="O534" s="192"/>
    </row>
    <row r="535" spans="1:75" hidden="1" x14ac:dyDescent="0.2">
      <c r="A535" s="6"/>
      <c r="B535" s="17" t="s">
        <v>157</v>
      </c>
      <c r="C535" s="6"/>
      <c r="D535" s="31"/>
      <c r="E535" s="31"/>
      <c r="F535" s="31"/>
      <c r="G535" s="31"/>
      <c r="H535" s="31"/>
      <c r="I535" s="41"/>
      <c r="J535" s="31"/>
      <c r="K535" s="31"/>
      <c r="L535" s="31"/>
      <c r="M535" s="31"/>
      <c r="N535" s="31"/>
      <c r="O535" s="192"/>
    </row>
    <row r="536" spans="1:75" ht="38.25" hidden="1" x14ac:dyDescent="0.2">
      <c r="A536" s="6" t="s">
        <v>98</v>
      </c>
      <c r="B536" s="16" t="s">
        <v>158</v>
      </c>
      <c r="C536" s="6"/>
      <c r="D536" s="31"/>
      <c r="E536" s="31"/>
      <c r="F536" s="31"/>
      <c r="G536" s="31"/>
      <c r="H536" s="31"/>
      <c r="I536" s="41"/>
      <c r="J536" s="31"/>
      <c r="K536" s="31"/>
      <c r="L536" s="31"/>
      <c r="M536" s="31"/>
      <c r="N536" s="31"/>
      <c r="O536" s="192"/>
    </row>
    <row r="537" spans="1:75" s="11" customFormat="1" ht="18.75" customHeight="1" x14ac:dyDescent="0.2">
      <c r="A537" s="4">
        <v>5</v>
      </c>
      <c r="B537" s="5" t="s">
        <v>174</v>
      </c>
      <c r="C537" s="4">
        <f>SUM(C538:C547)</f>
        <v>82</v>
      </c>
      <c r="D537" s="32"/>
      <c r="E537" s="32">
        <f>SUM(E538:E547)</f>
        <v>4658557</v>
      </c>
      <c r="F537" s="31"/>
      <c r="G537" s="32">
        <f>SUM(G538:G547)</f>
        <v>487797</v>
      </c>
      <c r="H537" s="32"/>
      <c r="I537" s="47"/>
      <c r="J537" s="31"/>
      <c r="K537" s="32">
        <f>SUM(K538:K547)</f>
        <v>2733465.2882799995</v>
      </c>
      <c r="L537" s="32"/>
      <c r="M537" s="32">
        <f>SUM(M538:M547)</f>
        <v>7879819.288279999</v>
      </c>
      <c r="N537" s="32"/>
      <c r="O537" s="190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  <c r="AV537" s="201"/>
      <c r="AW537" s="201"/>
      <c r="AX537" s="201"/>
      <c r="AY537" s="201"/>
      <c r="AZ537" s="201"/>
      <c r="BA537" s="201"/>
      <c r="BB537" s="201"/>
      <c r="BC537" s="201"/>
      <c r="BD537" s="201"/>
      <c r="BE537" s="201"/>
      <c r="BF537" s="201"/>
      <c r="BG537" s="201"/>
      <c r="BH537" s="201"/>
      <c r="BI537" s="201"/>
      <c r="BJ537" s="201"/>
      <c r="BK537" s="201"/>
      <c r="BL537" s="201"/>
      <c r="BM537" s="201"/>
      <c r="BN537" s="201"/>
      <c r="BO537" s="201"/>
      <c r="BP537" s="201"/>
      <c r="BQ537" s="201"/>
      <c r="BR537" s="201"/>
      <c r="BS537" s="201"/>
      <c r="BT537" s="201"/>
      <c r="BU537" s="201"/>
      <c r="BV537" s="201"/>
      <c r="BW537" s="201"/>
    </row>
    <row r="538" spans="1:75" ht="32.25" customHeight="1" x14ac:dyDescent="0.2">
      <c r="A538" s="6" t="s">
        <v>99</v>
      </c>
      <c r="B538" s="14" t="s">
        <v>160</v>
      </c>
      <c r="C538" s="6"/>
      <c r="D538" s="31"/>
      <c r="E538" s="31"/>
      <c r="F538" s="31"/>
      <c r="G538" s="31"/>
      <c r="H538" s="31"/>
      <c r="I538" s="41"/>
      <c r="J538" s="31"/>
      <c r="K538" s="31"/>
      <c r="L538" s="31"/>
      <c r="M538" s="31"/>
      <c r="N538" s="31"/>
      <c r="O538" s="192"/>
    </row>
    <row r="539" spans="1:75" ht="19.5" customHeight="1" x14ac:dyDescent="0.2">
      <c r="A539" s="6"/>
      <c r="B539" s="10" t="s">
        <v>280</v>
      </c>
      <c r="C539" s="6">
        <v>16</v>
      </c>
      <c r="D539" s="31">
        <v>53434</v>
      </c>
      <c r="E539" s="31">
        <f>C539*D539</f>
        <v>854944</v>
      </c>
      <c r="F539" s="31">
        <f t="shared" ref="F539:F540" si="256">ROUND((D539*10.47143%),0)</f>
        <v>5595</v>
      </c>
      <c r="G539" s="31">
        <f t="shared" ref="G539:G540" si="257">ROUND((C539*F539),0)</f>
        <v>89520</v>
      </c>
      <c r="H539" s="31">
        <v>16551.61</v>
      </c>
      <c r="I539" s="41">
        <v>2.0139999999999998</v>
      </c>
      <c r="J539" s="31">
        <f t="shared" ref="J539:J540" si="258">H539*I539</f>
        <v>33334.942539999996</v>
      </c>
      <c r="K539" s="31">
        <f t="shared" ref="K539:K540" si="259">C539*J539</f>
        <v>533359.08063999994</v>
      </c>
      <c r="L539" s="31">
        <f t="shared" ref="L539:M540" si="260">D539+F539+J539</f>
        <v>92363.942539999989</v>
      </c>
      <c r="M539" s="31">
        <f t="shared" si="260"/>
        <v>1477823.0806399998</v>
      </c>
      <c r="N539" s="31"/>
      <c r="O539" s="192">
        <f t="shared" ref="O539" si="261">G539+I539+M539</f>
        <v>1567345.0946399998</v>
      </c>
    </row>
    <row r="540" spans="1:75" x14ac:dyDescent="0.2">
      <c r="A540" s="6"/>
      <c r="B540" s="103" t="s">
        <v>309</v>
      </c>
      <c r="C540" s="6">
        <v>33</v>
      </c>
      <c r="D540" s="31">
        <v>53434</v>
      </c>
      <c r="E540" s="31">
        <f>C540*D540</f>
        <v>1763322</v>
      </c>
      <c r="F540" s="31">
        <f t="shared" si="256"/>
        <v>5595</v>
      </c>
      <c r="G540" s="31">
        <f t="shared" si="257"/>
        <v>184635</v>
      </c>
      <c r="H540" s="31">
        <v>16551.61</v>
      </c>
      <c r="I540" s="41">
        <v>2.0139999999999998</v>
      </c>
      <c r="J540" s="31">
        <f t="shared" si="258"/>
        <v>33334.942539999996</v>
      </c>
      <c r="K540" s="31">
        <f t="shared" si="259"/>
        <v>1100053.1038199998</v>
      </c>
      <c r="L540" s="31">
        <f t="shared" si="260"/>
        <v>92363.942539999989</v>
      </c>
      <c r="M540" s="31">
        <f t="shared" si="260"/>
        <v>3048010.1038199998</v>
      </c>
      <c r="N540" s="31"/>
      <c r="O540" s="192">
        <f t="shared" ref="O540" si="262">M540+N540</f>
        <v>3048010.1038199998</v>
      </c>
    </row>
    <row r="541" spans="1:75" ht="25.5" x14ac:dyDescent="0.2">
      <c r="A541" s="6"/>
      <c r="B541" s="7" t="s">
        <v>281</v>
      </c>
      <c r="C541" s="6"/>
      <c r="D541" s="31"/>
      <c r="E541" s="31"/>
      <c r="F541" s="31"/>
      <c r="G541" s="31"/>
      <c r="H541" s="31"/>
      <c r="I541" s="41"/>
      <c r="J541" s="31"/>
      <c r="K541" s="31"/>
      <c r="L541" s="31"/>
      <c r="M541" s="31"/>
      <c r="N541" s="31"/>
      <c r="O541" s="192"/>
    </row>
    <row r="542" spans="1:75" ht="16.5" hidden="1" customHeight="1" x14ac:dyDescent="0.2">
      <c r="A542" s="6"/>
      <c r="B542" s="103" t="s">
        <v>156</v>
      </c>
      <c r="C542" s="6"/>
      <c r="D542" s="31"/>
      <c r="E542" s="31"/>
      <c r="F542" s="31"/>
      <c r="G542" s="31"/>
      <c r="H542" s="31"/>
      <c r="I542" s="41"/>
      <c r="J542" s="31"/>
      <c r="K542" s="31"/>
      <c r="L542" s="31"/>
      <c r="M542" s="31"/>
      <c r="N542" s="31"/>
      <c r="O542" s="192"/>
    </row>
    <row r="543" spans="1:75" hidden="1" x14ac:dyDescent="0.2">
      <c r="A543" s="6"/>
      <c r="B543" s="7" t="s">
        <v>157</v>
      </c>
      <c r="C543" s="6"/>
      <c r="D543" s="31"/>
      <c r="E543" s="31"/>
      <c r="F543" s="31"/>
      <c r="G543" s="31"/>
      <c r="H543" s="31"/>
      <c r="I543" s="41"/>
      <c r="J543" s="31"/>
      <c r="K543" s="31"/>
      <c r="L543" s="31"/>
      <c r="M543" s="31"/>
      <c r="N543" s="31"/>
      <c r="O543" s="192"/>
    </row>
    <row r="544" spans="1:75" ht="38.25" x14ac:dyDescent="0.2">
      <c r="A544" s="6" t="s">
        <v>100</v>
      </c>
      <c r="B544" s="16" t="s">
        <v>175</v>
      </c>
      <c r="C544" s="6"/>
      <c r="D544" s="31"/>
      <c r="E544" s="31"/>
      <c r="F544" s="31"/>
      <c r="G544" s="31"/>
      <c r="H544" s="31"/>
      <c r="I544" s="41"/>
      <c r="J544" s="31"/>
      <c r="K544" s="31"/>
      <c r="L544" s="31"/>
      <c r="M544" s="31"/>
      <c r="N544" s="31"/>
      <c r="O544" s="192"/>
    </row>
    <row r="545" spans="1:75" hidden="1" x14ac:dyDescent="0.2">
      <c r="A545" s="6"/>
      <c r="B545" s="10" t="s">
        <v>91</v>
      </c>
      <c r="C545" s="6"/>
      <c r="D545" s="31"/>
      <c r="E545" s="31"/>
      <c r="F545" s="31"/>
      <c r="G545" s="31"/>
      <c r="H545" s="31"/>
      <c r="I545" s="41"/>
      <c r="J545" s="31"/>
      <c r="K545" s="31"/>
      <c r="L545" s="31"/>
      <c r="M545" s="31"/>
      <c r="N545" s="31"/>
      <c r="O545" s="192"/>
    </row>
    <row r="546" spans="1:75" hidden="1" x14ac:dyDescent="0.2">
      <c r="A546" s="6"/>
      <c r="B546" s="17" t="s">
        <v>92</v>
      </c>
      <c r="C546" s="6"/>
      <c r="D546" s="31"/>
      <c r="E546" s="31"/>
      <c r="F546" s="31"/>
      <c r="G546" s="31"/>
      <c r="H546" s="31"/>
      <c r="I546" s="41"/>
      <c r="J546" s="31"/>
      <c r="K546" s="31"/>
      <c r="L546" s="31"/>
      <c r="M546" s="31"/>
      <c r="N546" s="31"/>
      <c r="O546" s="192"/>
    </row>
    <row r="547" spans="1:75" ht="18" customHeight="1" x14ac:dyDescent="0.2">
      <c r="A547" s="6"/>
      <c r="B547" s="10" t="s">
        <v>280</v>
      </c>
      <c r="C547" s="6">
        <v>33</v>
      </c>
      <c r="D547" s="31">
        <v>61827</v>
      </c>
      <c r="E547" s="31">
        <f>C547*D547</f>
        <v>2040291</v>
      </c>
      <c r="F547" s="31">
        <f t="shared" ref="F547" si="263">ROUND((D547*10.47143%),0)</f>
        <v>6474</v>
      </c>
      <c r="G547" s="31">
        <f t="shared" ref="G547" si="264">ROUND((C547*F547),0)</f>
        <v>213642</v>
      </c>
      <c r="H547" s="31">
        <v>16551.61</v>
      </c>
      <c r="I547" s="41">
        <v>2.0139999999999998</v>
      </c>
      <c r="J547" s="31">
        <f t="shared" ref="J547" si="265">H547*I547</f>
        <v>33334.942539999996</v>
      </c>
      <c r="K547" s="31">
        <f t="shared" ref="K547" si="266">C547*J547</f>
        <v>1100053.1038199998</v>
      </c>
      <c r="L547" s="31">
        <f t="shared" ref="L547:M547" si="267">D547+F547+J547</f>
        <v>101635.94253999999</v>
      </c>
      <c r="M547" s="31">
        <f t="shared" si="267"/>
        <v>3353986.1038199998</v>
      </c>
      <c r="N547" s="31"/>
      <c r="O547" s="192">
        <f t="shared" ref="O547" si="268">G547+I547+M547</f>
        <v>3567630.1178199998</v>
      </c>
    </row>
    <row r="548" spans="1:75" hidden="1" x14ac:dyDescent="0.2">
      <c r="A548" s="6"/>
      <c r="B548" s="17" t="s">
        <v>157</v>
      </c>
      <c r="C548" s="6"/>
      <c r="D548" s="31"/>
      <c r="E548" s="31"/>
      <c r="F548" s="31"/>
      <c r="G548" s="31"/>
      <c r="H548" s="31"/>
      <c r="I548" s="41"/>
      <c r="J548" s="31"/>
      <c r="K548" s="31"/>
      <c r="L548" s="31"/>
      <c r="M548" s="31"/>
      <c r="N548" s="31"/>
      <c r="O548" s="192"/>
    </row>
    <row r="549" spans="1:75" ht="38.25" hidden="1" x14ac:dyDescent="0.2">
      <c r="A549" s="6" t="s">
        <v>101</v>
      </c>
      <c r="B549" s="103" t="s">
        <v>162</v>
      </c>
      <c r="C549" s="6"/>
      <c r="D549" s="31"/>
      <c r="E549" s="31"/>
      <c r="F549" s="31"/>
      <c r="G549" s="31"/>
      <c r="H549" s="31"/>
      <c r="I549" s="41"/>
      <c r="J549" s="31"/>
      <c r="K549" s="31"/>
      <c r="L549" s="31"/>
      <c r="M549" s="31"/>
      <c r="N549" s="31"/>
      <c r="O549" s="192"/>
    </row>
    <row r="550" spans="1:75" s="11" customFormat="1" ht="19.5" customHeight="1" x14ac:dyDescent="0.2">
      <c r="A550" s="4">
        <v>6</v>
      </c>
      <c r="B550" s="5" t="s">
        <v>170</v>
      </c>
      <c r="C550" s="32">
        <f>C554</f>
        <v>2</v>
      </c>
      <c r="D550" s="32"/>
      <c r="E550" s="32">
        <f>E554</f>
        <v>115234</v>
      </c>
      <c r="F550" s="31"/>
      <c r="G550" s="32">
        <f>G554</f>
        <v>12066</v>
      </c>
      <c r="H550" s="32"/>
      <c r="I550" s="47"/>
      <c r="J550" s="31"/>
      <c r="K550" s="32">
        <f>K554</f>
        <v>66669.885079999993</v>
      </c>
      <c r="L550" s="32"/>
      <c r="M550" s="32">
        <f>M554</f>
        <v>193969.88507999998</v>
      </c>
      <c r="N550" s="32"/>
      <c r="O550" s="190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1"/>
      <c r="AT550" s="201"/>
      <c r="AU550" s="201"/>
      <c r="AV550" s="201"/>
      <c r="AW550" s="201"/>
      <c r="AX550" s="201"/>
      <c r="AY550" s="201"/>
      <c r="AZ550" s="201"/>
      <c r="BA550" s="201"/>
      <c r="BB550" s="201"/>
      <c r="BC550" s="201"/>
      <c r="BD550" s="201"/>
      <c r="BE550" s="201"/>
      <c r="BF550" s="201"/>
      <c r="BG550" s="201"/>
      <c r="BH550" s="201"/>
      <c r="BI550" s="201"/>
      <c r="BJ550" s="201"/>
      <c r="BK550" s="201"/>
      <c r="BL550" s="201"/>
      <c r="BM550" s="201"/>
      <c r="BN550" s="201"/>
      <c r="BO550" s="201"/>
      <c r="BP550" s="201"/>
      <c r="BQ550" s="201"/>
      <c r="BR550" s="201"/>
      <c r="BS550" s="201"/>
      <c r="BT550" s="201"/>
      <c r="BU550" s="201"/>
      <c r="BV550" s="201"/>
      <c r="BW550" s="201"/>
    </row>
    <row r="551" spans="1:75" ht="25.5" x14ac:dyDescent="0.2">
      <c r="A551" s="6" t="s">
        <v>102</v>
      </c>
      <c r="B551" s="14" t="s">
        <v>166</v>
      </c>
      <c r="C551" s="6"/>
      <c r="D551" s="31"/>
      <c r="E551" s="31"/>
      <c r="F551" s="31"/>
      <c r="G551" s="31"/>
      <c r="H551" s="31"/>
      <c r="I551" s="41"/>
      <c r="J551" s="31"/>
      <c r="K551" s="31"/>
      <c r="L551" s="31"/>
      <c r="M551" s="31"/>
      <c r="N551" s="31"/>
      <c r="O551" s="192"/>
    </row>
    <row r="552" spans="1:75" hidden="1" x14ac:dyDescent="0.2">
      <c r="A552" s="6"/>
      <c r="B552" s="103" t="s">
        <v>91</v>
      </c>
      <c r="C552" s="6"/>
      <c r="D552" s="31"/>
      <c r="E552" s="31"/>
      <c r="F552" s="31"/>
      <c r="G552" s="31"/>
      <c r="H552" s="31"/>
      <c r="I552" s="41"/>
      <c r="J552" s="31"/>
      <c r="K552" s="31"/>
      <c r="L552" s="31"/>
      <c r="M552" s="31"/>
      <c r="N552" s="31"/>
      <c r="O552" s="192"/>
    </row>
    <row r="553" spans="1:75" ht="16.5" hidden="1" customHeight="1" x14ac:dyDescent="0.2">
      <c r="A553" s="6"/>
      <c r="B553" s="7" t="s">
        <v>92</v>
      </c>
      <c r="C553" s="6"/>
      <c r="D553" s="31"/>
      <c r="E553" s="31"/>
      <c r="F553" s="31"/>
      <c r="G553" s="31"/>
      <c r="H553" s="31"/>
      <c r="I553" s="41"/>
      <c r="J553" s="31"/>
      <c r="K553" s="31"/>
      <c r="L553" s="31"/>
      <c r="M553" s="31"/>
      <c r="N553" s="31"/>
      <c r="O553" s="192"/>
    </row>
    <row r="554" spans="1:75" ht="18" customHeight="1" x14ac:dyDescent="0.2">
      <c r="A554" s="6"/>
      <c r="B554" s="10" t="s">
        <v>280</v>
      </c>
      <c r="C554" s="6">
        <v>2</v>
      </c>
      <c r="D554" s="31">
        <v>57617</v>
      </c>
      <c r="E554" s="31">
        <f>C554*D554</f>
        <v>115234</v>
      </c>
      <c r="F554" s="31">
        <f t="shared" ref="F554" si="269">ROUND((D554*10.47143%),0)</f>
        <v>6033</v>
      </c>
      <c r="G554" s="31">
        <f t="shared" ref="G554" si="270">ROUND((C554*F554),0)</f>
        <v>12066</v>
      </c>
      <c r="H554" s="31">
        <v>16551.61</v>
      </c>
      <c r="I554" s="41">
        <v>2.0139999999999998</v>
      </c>
      <c r="J554" s="31">
        <f t="shared" ref="J554" si="271">H554*I554</f>
        <v>33334.942539999996</v>
      </c>
      <c r="K554" s="31">
        <f t="shared" ref="K554" si="272">C554*J554</f>
        <v>66669.885079999993</v>
      </c>
      <c r="L554" s="31">
        <f t="shared" ref="L554:M554" si="273">D554+F554+J554</f>
        <v>96984.942539999989</v>
      </c>
      <c r="M554" s="31">
        <f t="shared" si="273"/>
        <v>193969.88507999998</v>
      </c>
      <c r="N554" s="31"/>
      <c r="O554" s="192">
        <f t="shared" ref="O554" si="274">G554+I554+M554</f>
        <v>206037.89907999997</v>
      </c>
    </row>
    <row r="555" spans="1:75" hidden="1" x14ac:dyDescent="0.2">
      <c r="A555" s="6"/>
      <c r="B555" s="7" t="s">
        <v>157</v>
      </c>
      <c r="C555" s="6"/>
      <c r="D555" s="31"/>
      <c r="E555" s="31"/>
      <c r="F555" s="31"/>
      <c r="G555" s="31"/>
      <c r="H555" s="31"/>
      <c r="I555" s="41"/>
      <c r="J555" s="31"/>
      <c r="K555" s="31"/>
      <c r="L555" s="31"/>
      <c r="M555" s="31"/>
      <c r="N555" s="31"/>
      <c r="O555" s="192"/>
    </row>
    <row r="556" spans="1:75" ht="38.25" hidden="1" x14ac:dyDescent="0.2">
      <c r="A556" s="6" t="s">
        <v>103</v>
      </c>
      <c r="B556" s="16" t="s">
        <v>175</v>
      </c>
      <c r="C556" s="6"/>
      <c r="D556" s="31"/>
      <c r="E556" s="31"/>
      <c r="F556" s="31"/>
      <c r="G556" s="31"/>
      <c r="H556" s="31"/>
      <c r="I556" s="41"/>
      <c r="J556" s="31"/>
      <c r="K556" s="31"/>
      <c r="L556" s="31"/>
      <c r="M556" s="31"/>
      <c r="N556" s="31"/>
      <c r="O556" s="192"/>
    </row>
    <row r="557" spans="1:75" hidden="1" x14ac:dyDescent="0.2">
      <c r="A557" s="6"/>
      <c r="B557" s="10" t="s">
        <v>91</v>
      </c>
      <c r="C557" s="6"/>
      <c r="D557" s="31"/>
      <c r="E557" s="31"/>
      <c r="F557" s="31"/>
      <c r="G557" s="31"/>
      <c r="H557" s="31"/>
      <c r="I557" s="41"/>
      <c r="J557" s="31"/>
      <c r="K557" s="31"/>
      <c r="L557" s="31"/>
      <c r="M557" s="31"/>
      <c r="N557" s="31"/>
      <c r="O557" s="192"/>
    </row>
    <row r="558" spans="1:75" hidden="1" x14ac:dyDescent="0.2">
      <c r="A558" s="6"/>
      <c r="B558" s="17" t="s">
        <v>92</v>
      </c>
      <c r="C558" s="6"/>
      <c r="D558" s="31"/>
      <c r="E558" s="31"/>
      <c r="F558" s="31"/>
      <c r="G558" s="31"/>
      <c r="H558" s="31"/>
      <c r="I558" s="41"/>
      <c r="J558" s="31"/>
      <c r="K558" s="31"/>
      <c r="L558" s="31"/>
      <c r="M558" s="31"/>
      <c r="N558" s="31"/>
      <c r="O558" s="192"/>
    </row>
    <row r="559" spans="1:75" hidden="1" x14ac:dyDescent="0.2">
      <c r="A559" s="6"/>
      <c r="B559" s="10" t="s">
        <v>156</v>
      </c>
      <c r="C559" s="6"/>
      <c r="D559" s="31"/>
      <c r="E559" s="31"/>
      <c r="F559" s="31"/>
      <c r="G559" s="31"/>
      <c r="H559" s="31"/>
      <c r="I559" s="41"/>
      <c r="J559" s="31"/>
      <c r="K559" s="31"/>
      <c r="L559" s="31"/>
      <c r="M559" s="31"/>
      <c r="N559" s="31"/>
      <c r="O559" s="192"/>
    </row>
    <row r="560" spans="1:75" hidden="1" x14ac:dyDescent="0.2">
      <c r="A560" s="6"/>
      <c r="B560" s="17" t="s">
        <v>157</v>
      </c>
      <c r="C560" s="6"/>
      <c r="D560" s="31"/>
      <c r="E560" s="31"/>
      <c r="F560" s="31"/>
      <c r="G560" s="31"/>
      <c r="H560" s="31"/>
      <c r="I560" s="41"/>
      <c r="J560" s="31"/>
      <c r="K560" s="31"/>
      <c r="L560" s="31"/>
      <c r="M560" s="31"/>
      <c r="N560" s="31"/>
      <c r="O560" s="192"/>
    </row>
    <row r="561" spans="1:75" ht="38.25" hidden="1" x14ac:dyDescent="0.2">
      <c r="A561" s="6" t="s">
        <v>104</v>
      </c>
      <c r="B561" s="103" t="s">
        <v>168</v>
      </c>
      <c r="C561" s="6"/>
      <c r="D561" s="31"/>
      <c r="E561" s="31"/>
      <c r="F561" s="31"/>
      <c r="G561" s="31"/>
      <c r="H561" s="31"/>
      <c r="I561" s="41"/>
      <c r="J561" s="31"/>
      <c r="K561" s="31"/>
      <c r="L561" s="31"/>
      <c r="M561" s="31"/>
      <c r="N561" s="31"/>
      <c r="O561" s="192"/>
    </row>
    <row r="562" spans="1:75" s="19" customFormat="1" ht="21" customHeight="1" x14ac:dyDescent="0.2">
      <c r="B562" s="18" t="s">
        <v>200</v>
      </c>
      <c r="C562" s="48">
        <f>C525+C537+C550</f>
        <v>176</v>
      </c>
      <c r="D562" s="48"/>
      <c r="E562" s="48">
        <f>E525+E537+E550</f>
        <v>9132092</v>
      </c>
      <c r="F562" s="48"/>
      <c r="G562" s="48">
        <f>G525+G537+G550</f>
        <v>956232</v>
      </c>
      <c r="H562" s="48"/>
      <c r="I562" s="143"/>
      <c r="J562" s="48"/>
      <c r="K562" s="48">
        <f>K525+K537</f>
        <v>6412236.1119599994</v>
      </c>
      <c r="L562" s="48"/>
      <c r="M562" s="48">
        <f>M525+M537+M550</f>
        <v>16567229.997039998</v>
      </c>
      <c r="N562" s="48">
        <v>364000</v>
      </c>
      <c r="O562" s="146">
        <f>M562+N562</f>
        <v>16931229.997039996</v>
      </c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  <c r="AC562" s="138"/>
      <c r="AD562" s="138"/>
      <c r="AE562" s="138"/>
      <c r="AF562" s="138"/>
      <c r="AG562" s="138"/>
      <c r="AH562" s="138"/>
      <c r="AI562" s="138"/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38"/>
      <c r="AX562" s="138"/>
      <c r="AY562" s="138"/>
      <c r="AZ562" s="138"/>
      <c r="BA562" s="138"/>
      <c r="BB562" s="138"/>
      <c r="BC562" s="138"/>
      <c r="BD562" s="138"/>
      <c r="BE562" s="138"/>
      <c r="BF562" s="138"/>
      <c r="BG562" s="138"/>
      <c r="BH562" s="138"/>
      <c r="BI562" s="138"/>
      <c r="BJ562" s="138"/>
      <c r="BK562" s="138"/>
      <c r="BL562" s="138"/>
      <c r="BM562" s="138"/>
      <c r="BN562" s="138"/>
      <c r="BO562" s="138"/>
      <c r="BP562" s="138"/>
      <c r="BQ562" s="138"/>
      <c r="BR562" s="138"/>
      <c r="BS562" s="138"/>
      <c r="BT562" s="138"/>
      <c r="BU562" s="138"/>
      <c r="BV562" s="138"/>
      <c r="BW562" s="138"/>
    </row>
    <row r="563" spans="1:75" ht="38.25" hidden="1" x14ac:dyDescent="0.2">
      <c r="A563" s="6" t="s">
        <v>104</v>
      </c>
      <c r="B563" s="13" t="s">
        <v>168</v>
      </c>
      <c r="C563" s="6"/>
      <c r="D563" s="31"/>
      <c r="E563" s="31"/>
      <c r="F563" s="31"/>
      <c r="G563" s="31"/>
      <c r="H563" s="31"/>
      <c r="I563" s="41"/>
      <c r="J563" s="31"/>
      <c r="K563" s="31"/>
      <c r="L563" s="31"/>
      <c r="M563" s="31"/>
      <c r="N563" s="31"/>
      <c r="O563" s="192"/>
    </row>
    <row r="564" spans="1:75" s="11" customFormat="1" x14ac:dyDescent="0.2">
      <c r="A564" s="4" t="s">
        <v>172</v>
      </c>
      <c r="B564" s="18" t="s">
        <v>299</v>
      </c>
      <c r="C564" s="4">
        <f>SUM(C565:C574)</f>
        <v>294</v>
      </c>
      <c r="D564" s="32"/>
      <c r="E564" s="32">
        <f>SUM(E565:E574)</f>
        <v>12730172</v>
      </c>
      <c r="F564" s="32"/>
      <c r="G564" s="32">
        <f>SUM(G565:G574)</f>
        <v>1332994</v>
      </c>
      <c r="H564" s="32"/>
      <c r="I564" s="47"/>
      <c r="J564" s="32"/>
      <c r="K564" s="32">
        <f>SUM(K565:K574)</f>
        <v>5381987.7140400009</v>
      </c>
      <c r="L564" s="32"/>
      <c r="M564" s="32">
        <f>SUM(M565:M574)</f>
        <v>19445153.714040004</v>
      </c>
      <c r="N564" s="32"/>
      <c r="O564" s="190">
        <f>SUM(O565:O574)</f>
        <v>19445153.714040004</v>
      </c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  <c r="AV564" s="201"/>
      <c r="AW564" s="201"/>
      <c r="AX564" s="201"/>
      <c r="AY564" s="201"/>
      <c r="AZ564" s="201"/>
      <c r="BA564" s="201"/>
      <c r="BB564" s="201"/>
      <c r="BC564" s="201"/>
      <c r="BD564" s="201"/>
      <c r="BE564" s="201"/>
      <c r="BF564" s="201"/>
      <c r="BG564" s="201"/>
      <c r="BH564" s="201"/>
      <c r="BI564" s="201"/>
      <c r="BJ564" s="201"/>
      <c r="BK564" s="201"/>
      <c r="BL564" s="201"/>
      <c r="BM564" s="201"/>
      <c r="BN564" s="201"/>
      <c r="BO564" s="201"/>
      <c r="BP564" s="201"/>
      <c r="BQ564" s="201"/>
      <c r="BR564" s="201"/>
      <c r="BS564" s="201"/>
      <c r="BT564" s="201"/>
      <c r="BU564" s="201"/>
      <c r="BV564" s="201"/>
      <c r="BW564" s="201"/>
    </row>
    <row r="565" spans="1:75" ht="25.5" x14ac:dyDescent="0.2">
      <c r="A565" s="6" t="s">
        <v>96</v>
      </c>
      <c r="B565" s="16" t="s">
        <v>154</v>
      </c>
      <c r="C565" s="6"/>
      <c r="D565" s="31"/>
      <c r="E565" s="31"/>
      <c r="F565" s="31"/>
      <c r="G565" s="31"/>
      <c r="H565" s="31"/>
      <c r="I565" s="41"/>
      <c r="J565" s="31"/>
      <c r="K565" s="31"/>
      <c r="L565" s="31"/>
      <c r="M565" s="31"/>
      <c r="N565" s="31"/>
      <c r="O565" s="192"/>
    </row>
    <row r="566" spans="1:75" x14ac:dyDescent="0.2">
      <c r="A566" s="6"/>
      <c r="B566" s="6" t="s">
        <v>290</v>
      </c>
      <c r="C566" s="6">
        <v>43</v>
      </c>
      <c r="D566" s="31">
        <v>42278</v>
      </c>
      <c r="E566" s="31">
        <f>C566*D566</f>
        <v>1817954</v>
      </c>
      <c r="F566" s="31">
        <f t="shared" ref="F566:F567" si="275">ROUND((D566*10.47143%),0)</f>
        <v>4427</v>
      </c>
      <c r="G566" s="31">
        <f>ROUND((C566*F566),0)</f>
        <v>190361</v>
      </c>
      <c r="H566" s="31">
        <v>16551.61</v>
      </c>
      <c r="I566" s="41">
        <v>1.1060000000000001</v>
      </c>
      <c r="J566" s="31">
        <f t="shared" ref="J566:J567" si="276">H566*I566</f>
        <v>18306.080660000003</v>
      </c>
      <c r="K566" s="31">
        <f>C566*J566</f>
        <v>787161.46838000009</v>
      </c>
      <c r="L566" s="31">
        <f t="shared" ref="L566:M567" si="277">D566+F566+J566</f>
        <v>65011.080660000007</v>
      </c>
      <c r="M566" s="31">
        <f t="shared" si="277"/>
        <v>2795476.46838</v>
      </c>
      <c r="N566" s="31"/>
      <c r="O566" s="192">
        <f t="shared" ref="O566:O567" si="278">M566+N566</f>
        <v>2795476.46838</v>
      </c>
    </row>
    <row r="567" spans="1:75" x14ac:dyDescent="0.2">
      <c r="A567" s="6"/>
      <c r="B567" s="103" t="s">
        <v>309</v>
      </c>
      <c r="C567" s="6">
        <v>215</v>
      </c>
      <c r="D567" s="31">
        <v>42278</v>
      </c>
      <c r="E567" s="31">
        <f>C567*D567</f>
        <v>9089770</v>
      </c>
      <c r="F567" s="31">
        <f t="shared" si="275"/>
        <v>4427</v>
      </c>
      <c r="G567" s="31">
        <f t="shared" ref="G567" si="279">ROUND((C567*F567),0)</f>
        <v>951805</v>
      </c>
      <c r="H567" s="31">
        <v>16551.61</v>
      </c>
      <c r="I567" s="41">
        <v>1.1060000000000001</v>
      </c>
      <c r="J567" s="31">
        <f t="shared" si="276"/>
        <v>18306.080660000003</v>
      </c>
      <c r="K567" s="31">
        <f t="shared" ref="K567" si="280">C567*J567</f>
        <v>3935807.3419000008</v>
      </c>
      <c r="L567" s="31">
        <f t="shared" si="277"/>
        <v>65011.080660000007</v>
      </c>
      <c r="M567" s="31">
        <f t="shared" si="277"/>
        <v>13977382.3419</v>
      </c>
      <c r="N567" s="31"/>
      <c r="O567" s="192">
        <f t="shared" si="278"/>
        <v>13977382.3419</v>
      </c>
    </row>
    <row r="568" spans="1:75" ht="25.5" x14ac:dyDescent="0.2">
      <c r="A568" s="6"/>
      <c r="B568" s="7" t="s">
        <v>303</v>
      </c>
      <c r="C568" s="6"/>
      <c r="D568" s="31"/>
      <c r="E568" s="31"/>
      <c r="F568" s="31"/>
      <c r="G568" s="31"/>
      <c r="H568" s="31"/>
      <c r="I568" s="41"/>
      <c r="J568" s="31"/>
      <c r="K568" s="31"/>
      <c r="L568" s="31"/>
      <c r="M568" s="31"/>
      <c r="N568" s="31"/>
      <c r="O568" s="192"/>
    </row>
    <row r="569" spans="1:75" ht="38.25" x14ac:dyDescent="0.2">
      <c r="A569" s="6" t="s">
        <v>97</v>
      </c>
      <c r="B569" s="16" t="s">
        <v>173</v>
      </c>
      <c r="C569" s="6"/>
      <c r="D569" s="31"/>
      <c r="E569" s="31"/>
      <c r="F569" s="31"/>
      <c r="G569" s="31"/>
      <c r="H569" s="31"/>
      <c r="I569" s="41"/>
      <c r="J569" s="31"/>
      <c r="K569" s="31"/>
      <c r="L569" s="31"/>
      <c r="M569" s="31"/>
      <c r="N569" s="31"/>
      <c r="O569" s="192"/>
    </row>
    <row r="570" spans="1:75" x14ac:dyDescent="0.2">
      <c r="A570" s="6"/>
      <c r="B570" s="10" t="s">
        <v>280</v>
      </c>
      <c r="C570" s="6">
        <v>32</v>
      </c>
      <c r="D570" s="31">
        <v>48812</v>
      </c>
      <c r="E570" s="31">
        <f>C570*D570</f>
        <v>1561984</v>
      </c>
      <c r="F570" s="31">
        <f t="shared" ref="F570" si="281">ROUND((D570*10.47143%),0)</f>
        <v>5111</v>
      </c>
      <c r="G570" s="31">
        <f t="shared" ref="G570:G574" si="282">ROUND((C570*F570),0)</f>
        <v>163552</v>
      </c>
      <c r="H570" s="31">
        <v>16551.61</v>
      </c>
      <c r="I570" s="41">
        <v>1.1060000000000001</v>
      </c>
      <c r="J570" s="31">
        <f t="shared" ref="J570:J574" si="283">H570*I570</f>
        <v>18306.080660000003</v>
      </c>
      <c r="K570" s="31">
        <f t="shared" ref="K570:K574" si="284">C570*J570</f>
        <v>585794.5811200001</v>
      </c>
      <c r="L570" s="31">
        <f t="shared" ref="L570:M574" si="285">D570+F570+J570</f>
        <v>72229.080660000007</v>
      </c>
      <c r="M570" s="31">
        <f t="shared" si="285"/>
        <v>2311330.5811200002</v>
      </c>
      <c r="N570" s="31"/>
      <c r="O570" s="192">
        <f t="shared" ref="O570:O574" si="286">M570+N570</f>
        <v>2311330.5811200002</v>
      </c>
    </row>
    <row r="571" spans="1:75" hidden="1" x14ac:dyDescent="0.2">
      <c r="A571" s="6"/>
      <c r="B571" s="17" t="s">
        <v>92</v>
      </c>
      <c r="C571" s="6"/>
      <c r="D571" s="31"/>
      <c r="E571" s="31"/>
      <c r="F571" s="31"/>
      <c r="G571" s="31">
        <f t="shared" si="282"/>
        <v>0</v>
      </c>
      <c r="H571" s="31">
        <v>16551.61</v>
      </c>
      <c r="I571" s="41">
        <v>1.1060000000000001</v>
      </c>
      <c r="J571" s="31">
        <f t="shared" si="283"/>
        <v>18306.080660000003</v>
      </c>
      <c r="K571" s="31">
        <f t="shared" si="284"/>
        <v>0</v>
      </c>
      <c r="L571" s="31">
        <f t="shared" si="285"/>
        <v>18306.080660000003</v>
      </c>
      <c r="M571" s="31">
        <f t="shared" si="285"/>
        <v>0</v>
      </c>
      <c r="N571" s="31"/>
      <c r="O571" s="192">
        <f t="shared" si="286"/>
        <v>0</v>
      </c>
    </row>
    <row r="572" spans="1:75" hidden="1" x14ac:dyDescent="0.2">
      <c r="A572" s="6"/>
      <c r="B572" s="10" t="s">
        <v>156</v>
      </c>
      <c r="C572" s="6"/>
      <c r="D572" s="31"/>
      <c r="E572" s="31"/>
      <c r="F572" s="31"/>
      <c r="G572" s="31">
        <f t="shared" si="282"/>
        <v>0</v>
      </c>
      <c r="H572" s="31">
        <v>16551.61</v>
      </c>
      <c r="I572" s="41">
        <v>1.1060000000000001</v>
      </c>
      <c r="J572" s="31">
        <f t="shared" si="283"/>
        <v>18306.080660000003</v>
      </c>
      <c r="K572" s="31">
        <f t="shared" si="284"/>
        <v>0</v>
      </c>
      <c r="L572" s="31">
        <f t="shared" si="285"/>
        <v>18306.080660000003</v>
      </c>
      <c r="M572" s="31">
        <f t="shared" si="285"/>
        <v>0</v>
      </c>
      <c r="N572" s="31"/>
      <c r="O572" s="192">
        <f t="shared" si="286"/>
        <v>0</v>
      </c>
    </row>
    <row r="573" spans="1:75" hidden="1" x14ac:dyDescent="0.2">
      <c r="A573" s="6"/>
      <c r="B573" s="17" t="s">
        <v>157</v>
      </c>
      <c r="C573" s="6"/>
      <c r="D573" s="31"/>
      <c r="E573" s="31"/>
      <c r="F573" s="31"/>
      <c r="G573" s="31">
        <f t="shared" si="282"/>
        <v>0</v>
      </c>
      <c r="H573" s="31">
        <v>16551.61</v>
      </c>
      <c r="I573" s="41">
        <v>1.1060000000000001</v>
      </c>
      <c r="J573" s="31">
        <f t="shared" si="283"/>
        <v>18306.080660000003</v>
      </c>
      <c r="K573" s="31">
        <f t="shared" si="284"/>
        <v>0</v>
      </c>
      <c r="L573" s="31">
        <f t="shared" si="285"/>
        <v>18306.080660000003</v>
      </c>
      <c r="M573" s="31">
        <f t="shared" si="285"/>
        <v>0</v>
      </c>
      <c r="N573" s="31"/>
      <c r="O573" s="192">
        <f t="shared" si="286"/>
        <v>0</v>
      </c>
    </row>
    <row r="574" spans="1:75" ht="38.25" x14ac:dyDescent="0.2">
      <c r="A574" s="6" t="s">
        <v>98</v>
      </c>
      <c r="B574" s="16" t="s">
        <v>158</v>
      </c>
      <c r="C574" s="6">
        <v>4</v>
      </c>
      <c r="D574" s="31">
        <v>65116</v>
      </c>
      <c r="E574" s="31">
        <f>C574*D574</f>
        <v>260464</v>
      </c>
      <c r="F574" s="31">
        <f t="shared" ref="F574" si="287">ROUND((D574*10.47143%),0)</f>
        <v>6819</v>
      </c>
      <c r="G574" s="31">
        <f t="shared" si="282"/>
        <v>27276</v>
      </c>
      <c r="H574" s="31">
        <v>16551.61</v>
      </c>
      <c r="I574" s="41">
        <v>1.1060000000000001</v>
      </c>
      <c r="J574" s="31">
        <f t="shared" si="283"/>
        <v>18306.080660000003</v>
      </c>
      <c r="K574" s="31">
        <f t="shared" si="284"/>
        <v>73224.322640000013</v>
      </c>
      <c r="L574" s="31">
        <f t="shared" si="285"/>
        <v>90241.080660000007</v>
      </c>
      <c r="M574" s="31">
        <f t="shared" si="285"/>
        <v>360964.32264000003</v>
      </c>
      <c r="N574" s="31"/>
      <c r="O574" s="192">
        <f t="shared" si="286"/>
        <v>360964.32264000003</v>
      </c>
    </row>
    <row r="575" spans="1:75" s="11" customFormat="1" x14ac:dyDescent="0.2">
      <c r="A575" s="4">
        <v>5</v>
      </c>
      <c r="B575" s="5" t="s">
        <v>174</v>
      </c>
      <c r="C575" s="4">
        <f>SUM(C576:C587)</f>
        <v>340</v>
      </c>
      <c r="D575" s="32"/>
      <c r="E575" s="32">
        <f>SUM(E576:E587)</f>
        <v>18851031</v>
      </c>
      <c r="F575" s="31"/>
      <c r="G575" s="32">
        <f>SUM(G576:G587)</f>
        <v>1973877</v>
      </c>
      <c r="H575" s="32"/>
      <c r="I575" s="47"/>
      <c r="J575" s="31"/>
      <c r="K575" s="32">
        <f>SUM(K576:K587)</f>
        <v>6229114.9144000001</v>
      </c>
      <c r="L575" s="32"/>
      <c r="M575" s="32">
        <f>SUM(M576:M587)</f>
        <v>27054022.914400004</v>
      </c>
      <c r="N575" s="32"/>
      <c r="O575" s="190">
        <f>SUM(O576:O587)</f>
        <v>27054022.914400004</v>
      </c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201"/>
      <c r="AP575" s="201"/>
      <c r="AQ575" s="201"/>
      <c r="AR575" s="201"/>
      <c r="AS575" s="201"/>
      <c r="AT575" s="201"/>
      <c r="AU575" s="201"/>
      <c r="AV575" s="201"/>
      <c r="AW575" s="201"/>
      <c r="AX575" s="201"/>
      <c r="AY575" s="201"/>
      <c r="AZ575" s="201"/>
      <c r="BA575" s="201"/>
      <c r="BB575" s="201"/>
      <c r="BC575" s="201"/>
      <c r="BD575" s="201"/>
      <c r="BE575" s="201"/>
      <c r="BF575" s="201"/>
      <c r="BG575" s="201"/>
      <c r="BH575" s="201"/>
      <c r="BI575" s="201"/>
      <c r="BJ575" s="201"/>
      <c r="BK575" s="201"/>
      <c r="BL575" s="201"/>
      <c r="BM575" s="201"/>
      <c r="BN575" s="201"/>
      <c r="BO575" s="201"/>
      <c r="BP575" s="201"/>
      <c r="BQ575" s="201"/>
      <c r="BR575" s="201"/>
      <c r="BS575" s="201"/>
      <c r="BT575" s="201"/>
      <c r="BU575" s="201"/>
      <c r="BV575" s="201"/>
      <c r="BW575" s="201"/>
    </row>
    <row r="576" spans="1:75" ht="25.5" x14ac:dyDescent="0.2">
      <c r="A576" s="6" t="s">
        <v>99</v>
      </c>
      <c r="B576" s="14" t="s">
        <v>160</v>
      </c>
      <c r="C576" s="6"/>
      <c r="D576" s="31"/>
      <c r="E576" s="31"/>
      <c r="F576" s="31"/>
      <c r="G576" s="31"/>
      <c r="H576" s="31"/>
      <c r="I576" s="41"/>
      <c r="J576" s="31"/>
      <c r="K576" s="31"/>
      <c r="L576" s="31"/>
      <c r="M576" s="31"/>
      <c r="N576" s="31"/>
      <c r="O576" s="192"/>
    </row>
    <row r="577" spans="1:75" x14ac:dyDescent="0.2">
      <c r="A577" s="6"/>
      <c r="B577" s="10" t="s">
        <v>280</v>
      </c>
      <c r="C577" s="6">
        <v>58</v>
      </c>
      <c r="D577" s="31">
        <v>53434</v>
      </c>
      <c r="E577" s="31">
        <f>C577*D577</f>
        <v>3099172</v>
      </c>
      <c r="F577" s="31">
        <f t="shared" ref="F577:F587" si="288">ROUND((D577*10.47143%),0)</f>
        <v>5595</v>
      </c>
      <c r="G577" s="31">
        <f t="shared" ref="G577" si="289">ROUND((C577*F577),0)</f>
        <v>324510</v>
      </c>
      <c r="H577" s="31">
        <v>16551.61</v>
      </c>
      <c r="I577" s="41">
        <v>1.1060000000000001</v>
      </c>
      <c r="J577" s="31">
        <f t="shared" ref="J577" si="290">H577*I577</f>
        <v>18306.080660000003</v>
      </c>
      <c r="K577" s="31">
        <f>C577*J577+5047.49</f>
        <v>1066800.1682800001</v>
      </c>
      <c r="L577" s="31">
        <f t="shared" ref="L577:M577" si="291">D577+F577+J577</f>
        <v>77335.080660000007</v>
      </c>
      <c r="M577" s="31">
        <f t="shared" si="291"/>
        <v>4490482.1682799999</v>
      </c>
      <c r="N577" s="31"/>
      <c r="O577" s="192">
        <f t="shared" ref="O577" si="292">M577+N577</f>
        <v>4490482.1682799999</v>
      </c>
    </row>
    <row r="578" spans="1:75" hidden="1" x14ac:dyDescent="0.2">
      <c r="A578" s="6"/>
      <c r="B578" s="7" t="s">
        <v>92</v>
      </c>
      <c r="C578" s="6"/>
      <c r="D578" s="31">
        <v>53434</v>
      </c>
      <c r="E578" s="31"/>
      <c r="F578" s="31">
        <f t="shared" si="288"/>
        <v>5595</v>
      </c>
      <c r="G578" s="31"/>
      <c r="H578" s="31">
        <v>16551.61</v>
      </c>
      <c r="I578" s="41">
        <v>1.1060000000000001</v>
      </c>
      <c r="J578" s="31"/>
      <c r="K578" s="31"/>
      <c r="L578" s="31"/>
      <c r="M578" s="31"/>
      <c r="N578" s="31"/>
      <c r="O578" s="192"/>
    </row>
    <row r="579" spans="1:75" hidden="1" x14ac:dyDescent="0.2">
      <c r="A579" s="6"/>
      <c r="B579" s="103" t="s">
        <v>156</v>
      </c>
      <c r="C579" s="6"/>
      <c r="D579" s="31">
        <v>53434</v>
      </c>
      <c r="E579" s="31"/>
      <c r="F579" s="31">
        <f t="shared" si="288"/>
        <v>5595</v>
      </c>
      <c r="G579" s="31"/>
      <c r="H579" s="31">
        <v>16551.61</v>
      </c>
      <c r="I579" s="41">
        <v>1.1060000000000001</v>
      </c>
      <c r="J579" s="31"/>
      <c r="K579" s="31"/>
      <c r="L579" s="31"/>
      <c r="M579" s="31"/>
      <c r="N579" s="31"/>
      <c r="O579" s="192"/>
    </row>
    <row r="580" spans="1:75" x14ac:dyDescent="0.2">
      <c r="A580" s="6"/>
      <c r="B580" s="103" t="s">
        <v>309</v>
      </c>
      <c r="C580" s="6">
        <v>239</v>
      </c>
      <c r="D580" s="31">
        <v>53434</v>
      </c>
      <c r="E580" s="31">
        <f>C580*D580</f>
        <v>12770726</v>
      </c>
      <c r="F580" s="31">
        <f t="shared" si="288"/>
        <v>5595</v>
      </c>
      <c r="G580" s="31">
        <f t="shared" ref="G580:G581" si="293">ROUND((C580*F580),0)</f>
        <v>1337205</v>
      </c>
      <c r="H580" s="31">
        <v>16551.61</v>
      </c>
      <c r="I580" s="41">
        <v>1.1060000000000001</v>
      </c>
      <c r="J580" s="31">
        <f t="shared" ref="J580:J581" si="294">H580*I580</f>
        <v>18306.080660000003</v>
      </c>
      <c r="K580" s="31">
        <f t="shared" ref="K580:K581" si="295">C580*J580</f>
        <v>4375153.2777400007</v>
      </c>
      <c r="L580" s="31">
        <f t="shared" ref="L580:M581" si="296">D580+F580+J580</f>
        <v>77335.080660000007</v>
      </c>
      <c r="M580" s="31">
        <f t="shared" si="296"/>
        <v>18483084.277740002</v>
      </c>
      <c r="N580" s="31"/>
      <c r="O580" s="192">
        <f t="shared" ref="O580:O581" si="297">M580+N580</f>
        <v>18483084.277740002</v>
      </c>
    </row>
    <row r="581" spans="1:75" ht="25.5" x14ac:dyDescent="0.2">
      <c r="A581" s="6"/>
      <c r="B581" s="7" t="s">
        <v>281</v>
      </c>
      <c r="C581" s="6">
        <v>2</v>
      </c>
      <c r="D581" s="31">
        <v>194223</v>
      </c>
      <c r="E581" s="31">
        <f>C581*D581</f>
        <v>388446</v>
      </c>
      <c r="F581" s="31">
        <f t="shared" si="288"/>
        <v>20338</v>
      </c>
      <c r="G581" s="31">
        <f t="shared" si="293"/>
        <v>40676</v>
      </c>
      <c r="H581" s="31">
        <v>16551.61</v>
      </c>
      <c r="I581" s="41">
        <v>1.1060000000000001</v>
      </c>
      <c r="J581" s="31">
        <f t="shared" si="294"/>
        <v>18306.080660000003</v>
      </c>
      <c r="K581" s="31">
        <f t="shared" si="295"/>
        <v>36612.161320000007</v>
      </c>
      <c r="L581" s="31">
        <f t="shared" si="296"/>
        <v>232867.08066000001</v>
      </c>
      <c r="M581" s="31">
        <f t="shared" si="296"/>
        <v>465734.16132000001</v>
      </c>
      <c r="N581" s="31"/>
      <c r="O581" s="192">
        <f t="shared" si="297"/>
        <v>465734.16132000001</v>
      </c>
    </row>
    <row r="582" spans="1:75" ht="38.25" x14ac:dyDescent="0.2">
      <c r="A582" s="6" t="s">
        <v>100</v>
      </c>
      <c r="B582" s="16" t="s">
        <v>175</v>
      </c>
      <c r="C582" s="6"/>
      <c r="D582" s="31"/>
      <c r="E582" s="31"/>
      <c r="F582" s="31"/>
      <c r="G582" s="31"/>
      <c r="H582" s="31"/>
      <c r="I582" s="41"/>
      <c r="J582" s="31"/>
      <c r="K582" s="31"/>
      <c r="L582" s="31"/>
      <c r="M582" s="31"/>
      <c r="N582" s="31"/>
      <c r="O582" s="192"/>
    </row>
    <row r="583" spans="1:75" x14ac:dyDescent="0.2">
      <c r="A583" s="6"/>
      <c r="B583" s="10" t="s">
        <v>280</v>
      </c>
      <c r="C583" s="6">
        <v>37</v>
      </c>
      <c r="D583" s="31">
        <v>61827</v>
      </c>
      <c r="E583" s="31">
        <f>C583*D583</f>
        <v>2287599</v>
      </c>
      <c r="F583" s="31">
        <f t="shared" si="288"/>
        <v>6474</v>
      </c>
      <c r="G583" s="31">
        <f t="shared" ref="G583" si="298">ROUND((C583*F583),0)</f>
        <v>239538</v>
      </c>
      <c r="H583" s="31">
        <v>16551.61</v>
      </c>
      <c r="I583" s="41">
        <v>1.1060000000000001</v>
      </c>
      <c r="J583" s="31">
        <f t="shared" ref="J583" si="299">H583*I583</f>
        <v>18306.080660000003</v>
      </c>
      <c r="K583" s="31">
        <f t="shared" ref="K583" si="300">C583*J583</f>
        <v>677324.98442000011</v>
      </c>
      <c r="L583" s="31">
        <f t="shared" ref="L583:M583" si="301">D583+F583+J583</f>
        <v>86607.080660000007</v>
      </c>
      <c r="M583" s="31">
        <f t="shared" si="301"/>
        <v>3204461.9844200001</v>
      </c>
      <c r="N583" s="31"/>
      <c r="O583" s="192">
        <f t="shared" ref="O583" si="302">M583+N583</f>
        <v>3204461.9844200001</v>
      </c>
    </row>
    <row r="584" spans="1:75" hidden="1" x14ac:dyDescent="0.2">
      <c r="A584" s="6"/>
      <c r="B584" s="17" t="s">
        <v>92</v>
      </c>
      <c r="C584" s="6"/>
      <c r="D584" s="31"/>
      <c r="E584" s="31">
        <f t="shared" ref="E584:E587" si="303">C584*D584</f>
        <v>0</v>
      </c>
      <c r="F584" s="31">
        <f t="shared" si="288"/>
        <v>0</v>
      </c>
      <c r="G584" s="31"/>
      <c r="H584" s="31">
        <v>16551.61</v>
      </c>
      <c r="I584" s="41">
        <v>1.1060000000000001</v>
      </c>
      <c r="J584" s="31"/>
      <c r="K584" s="31"/>
      <c r="L584" s="31"/>
      <c r="M584" s="31"/>
      <c r="N584" s="31"/>
      <c r="O584" s="192"/>
    </row>
    <row r="585" spans="1:75" hidden="1" x14ac:dyDescent="0.2">
      <c r="A585" s="6"/>
      <c r="B585" s="10" t="s">
        <v>156</v>
      </c>
      <c r="C585" s="6"/>
      <c r="D585" s="31"/>
      <c r="E585" s="31">
        <f t="shared" si="303"/>
        <v>0</v>
      </c>
      <c r="F585" s="31">
        <f t="shared" si="288"/>
        <v>0</v>
      </c>
      <c r="G585" s="31"/>
      <c r="H585" s="31">
        <v>16551.61</v>
      </c>
      <c r="I585" s="41">
        <v>1.1060000000000001</v>
      </c>
      <c r="J585" s="31"/>
      <c r="K585" s="31"/>
      <c r="L585" s="31"/>
      <c r="M585" s="31"/>
      <c r="N585" s="31"/>
      <c r="O585" s="192"/>
    </row>
    <row r="586" spans="1:75" hidden="1" x14ac:dyDescent="0.2">
      <c r="A586" s="6"/>
      <c r="B586" s="17" t="s">
        <v>157</v>
      </c>
      <c r="C586" s="6"/>
      <c r="D586" s="31"/>
      <c r="E586" s="31">
        <f t="shared" si="303"/>
        <v>0</v>
      </c>
      <c r="F586" s="31">
        <f t="shared" si="288"/>
        <v>0</v>
      </c>
      <c r="G586" s="31"/>
      <c r="H586" s="31">
        <v>16551.61</v>
      </c>
      <c r="I586" s="41">
        <v>1.1060000000000001</v>
      </c>
      <c r="J586" s="31"/>
      <c r="K586" s="31"/>
      <c r="L586" s="31"/>
      <c r="M586" s="31"/>
      <c r="N586" s="31"/>
      <c r="O586" s="192"/>
    </row>
    <row r="587" spans="1:75" ht="38.25" x14ac:dyDescent="0.2">
      <c r="A587" s="6" t="s">
        <v>101</v>
      </c>
      <c r="B587" s="103" t="s">
        <v>162</v>
      </c>
      <c r="C587" s="6">
        <v>4</v>
      </c>
      <c r="D587" s="31">
        <v>76272</v>
      </c>
      <c r="E587" s="31">
        <f t="shared" si="303"/>
        <v>305088</v>
      </c>
      <c r="F587" s="31">
        <f t="shared" si="288"/>
        <v>7987</v>
      </c>
      <c r="G587" s="31">
        <f t="shared" ref="G587" si="304">ROUND((C587*F587),0)</f>
        <v>31948</v>
      </c>
      <c r="H587" s="31">
        <v>16551.61</v>
      </c>
      <c r="I587" s="41">
        <v>1.1060000000000001</v>
      </c>
      <c r="J587" s="31">
        <f t="shared" ref="J587" si="305">H587*I587</f>
        <v>18306.080660000003</v>
      </c>
      <c r="K587" s="31">
        <f t="shared" ref="K587" si="306">C587*J587</f>
        <v>73224.322640000013</v>
      </c>
      <c r="L587" s="31">
        <f t="shared" ref="L587:M587" si="307">D587+F587+J587</f>
        <v>102565.08066000001</v>
      </c>
      <c r="M587" s="31">
        <f t="shared" si="307"/>
        <v>410260.32264000003</v>
      </c>
      <c r="N587" s="31"/>
      <c r="O587" s="192">
        <f t="shared" ref="O587" si="308">M587+N587</f>
        <v>410260.32264000003</v>
      </c>
    </row>
    <row r="588" spans="1:75" s="11" customFormat="1" x14ac:dyDescent="0.2">
      <c r="A588" s="4">
        <v>6</v>
      </c>
      <c r="B588" s="5" t="s">
        <v>170</v>
      </c>
      <c r="C588" s="4">
        <f>SUM(C589:C592)</f>
        <v>17</v>
      </c>
      <c r="D588" s="32"/>
      <c r="E588" s="32">
        <f>SUM(E589:E592)</f>
        <v>979489</v>
      </c>
      <c r="F588" s="31"/>
      <c r="G588" s="32">
        <f>SUM(G589:G592)</f>
        <v>102561</v>
      </c>
      <c r="H588" s="32"/>
      <c r="I588" s="47"/>
      <c r="J588" s="31"/>
      <c r="K588" s="32">
        <f>SUM(K589:K592)</f>
        <v>311203.37122000003</v>
      </c>
      <c r="L588" s="32"/>
      <c r="M588" s="32">
        <f>SUM(M589:M592)</f>
        <v>1393253.3712200001</v>
      </c>
      <c r="N588" s="32"/>
      <c r="O588" s="190">
        <f>SUM(O589:O592)</f>
        <v>1393253.3712200001</v>
      </c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1"/>
      <c r="AT588" s="201"/>
      <c r="AU588" s="201"/>
      <c r="AV588" s="201"/>
      <c r="AW588" s="201"/>
      <c r="AX588" s="201"/>
      <c r="AY588" s="201"/>
      <c r="AZ588" s="201"/>
      <c r="BA588" s="201"/>
      <c r="BB588" s="201"/>
      <c r="BC588" s="201"/>
      <c r="BD588" s="201"/>
      <c r="BE588" s="201"/>
      <c r="BF588" s="201"/>
      <c r="BG588" s="201"/>
      <c r="BH588" s="201"/>
      <c r="BI588" s="201"/>
      <c r="BJ588" s="201"/>
      <c r="BK588" s="201"/>
      <c r="BL588" s="201"/>
      <c r="BM588" s="201"/>
      <c r="BN588" s="201"/>
      <c r="BO588" s="201"/>
      <c r="BP588" s="201"/>
      <c r="BQ588" s="201"/>
      <c r="BR588" s="201"/>
      <c r="BS588" s="201"/>
      <c r="BT588" s="201"/>
      <c r="BU588" s="201"/>
      <c r="BV588" s="201"/>
      <c r="BW588" s="201"/>
    </row>
    <row r="589" spans="1:75" ht="25.5" x14ac:dyDescent="0.2">
      <c r="A589" s="6" t="s">
        <v>102</v>
      </c>
      <c r="B589" s="14" t="s">
        <v>166</v>
      </c>
      <c r="C589" s="6"/>
      <c r="D589" s="31"/>
      <c r="E589" s="31"/>
      <c r="F589" s="31"/>
      <c r="G589" s="31"/>
      <c r="H589" s="31"/>
      <c r="I589" s="41"/>
      <c r="J589" s="31"/>
      <c r="K589" s="31"/>
      <c r="L589" s="31"/>
      <c r="M589" s="31"/>
      <c r="N589" s="31"/>
      <c r="O589" s="192"/>
    </row>
    <row r="590" spans="1:75" hidden="1" x14ac:dyDescent="0.2">
      <c r="A590" s="6"/>
      <c r="B590" s="103" t="s">
        <v>91</v>
      </c>
      <c r="C590" s="6"/>
      <c r="D590" s="31"/>
      <c r="E590" s="31"/>
      <c r="F590" s="31"/>
      <c r="G590" s="31"/>
      <c r="H590" s="31"/>
      <c r="I590" s="41"/>
      <c r="J590" s="31"/>
      <c r="K590" s="31"/>
      <c r="L590" s="31"/>
      <c r="M590" s="31"/>
      <c r="N590" s="31"/>
      <c r="O590" s="192"/>
    </row>
    <row r="591" spans="1:75" hidden="1" x14ac:dyDescent="0.2">
      <c r="A591" s="6"/>
      <c r="B591" s="7" t="s">
        <v>92</v>
      </c>
      <c r="C591" s="6"/>
      <c r="D591" s="31"/>
      <c r="E591" s="31"/>
      <c r="F591" s="31"/>
      <c r="G591" s="31"/>
      <c r="H591" s="31"/>
      <c r="I591" s="41"/>
      <c r="J591" s="31"/>
      <c r="K591" s="31"/>
      <c r="L591" s="31"/>
      <c r="M591" s="31"/>
      <c r="N591" s="31"/>
      <c r="O591" s="192"/>
    </row>
    <row r="592" spans="1:75" x14ac:dyDescent="0.2">
      <c r="A592" s="6"/>
      <c r="B592" s="10" t="s">
        <v>280</v>
      </c>
      <c r="C592" s="6">
        <v>17</v>
      </c>
      <c r="D592" s="31">
        <v>57617</v>
      </c>
      <c r="E592" s="31">
        <f t="shared" ref="E592" si="309">C592*D592</f>
        <v>979489</v>
      </c>
      <c r="F592" s="31">
        <f t="shared" ref="F592" si="310">ROUND((D592*10.47143%),0)</f>
        <v>6033</v>
      </c>
      <c r="G592" s="31">
        <f t="shared" ref="G592" si="311">ROUND((C592*F592),0)</f>
        <v>102561</v>
      </c>
      <c r="H592" s="31">
        <v>16551.61</v>
      </c>
      <c r="I592" s="41">
        <v>1.1060000000000001</v>
      </c>
      <c r="J592" s="31">
        <f t="shared" ref="J592" si="312">H592*I592</f>
        <v>18306.080660000003</v>
      </c>
      <c r="K592" s="31">
        <f t="shared" ref="K592" si="313">C592*J592</f>
        <v>311203.37122000003</v>
      </c>
      <c r="L592" s="31">
        <f t="shared" ref="L592:M592" si="314">D592+F592+J592</f>
        <v>81956.080660000007</v>
      </c>
      <c r="M592" s="31">
        <f t="shared" si="314"/>
        <v>1393253.3712200001</v>
      </c>
      <c r="N592" s="31"/>
      <c r="O592" s="192">
        <f t="shared" ref="O592" si="315">M592+N592</f>
        <v>1393253.3712200001</v>
      </c>
    </row>
    <row r="593" spans="1:75" hidden="1" x14ac:dyDescent="0.2">
      <c r="A593" s="6"/>
      <c r="B593" s="7" t="s">
        <v>157</v>
      </c>
      <c r="C593" s="6"/>
      <c r="D593" s="31"/>
      <c r="E593" s="31"/>
      <c r="F593" s="31"/>
      <c r="G593" s="31"/>
      <c r="H593" s="31"/>
      <c r="I593" s="41"/>
      <c r="J593" s="31"/>
      <c r="K593" s="31"/>
      <c r="L593" s="31"/>
      <c r="M593" s="31"/>
      <c r="N593" s="31"/>
      <c r="O593" s="192"/>
    </row>
    <row r="594" spans="1:75" ht="38.25" hidden="1" x14ac:dyDescent="0.2">
      <c r="A594" s="6" t="s">
        <v>103</v>
      </c>
      <c r="B594" s="16" t="s">
        <v>175</v>
      </c>
      <c r="C594" s="6"/>
      <c r="D594" s="31"/>
      <c r="E594" s="31"/>
      <c r="F594" s="31"/>
      <c r="G594" s="31"/>
      <c r="H594" s="31"/>
      <c r="I594" s="41"/>
      <c r="J594" s="31"/>
      <c r="K594" s="31"/>
      <c r="L594" s="31"/>
      <c r="M594" s="31"/>
      <c r="N594" s="31"/>
      <c r="O594" s="192"/>
    </row>
    <row r="595" spans="1:75" hidden="1" x14ac:dyDescent="0.2">
      <c r="A595" s="6"/>
      <c r="B595" s="10" t="s">
        <v>91</v>
      </c>
      <c r="C595" s="6"/>
      <c r="D595" s="31"/>
      <c r="E595" s="31"/>
      <c r="F595" s="31"/>
      <c r="G595" s="31"/>
      <c r="H595" s="31"/>
      <c r="I595" s="41"/>
      <c r="J595" s="31"/>
      <c r="K595" s="31"/>
      <c r="L595" s="31"/>
      <c r="M595" s="31"/>
      <c r="N595" s="31"/>
      <c r="O595" s="192"/>
    </row>
    <row r="596" spans="1:75" hidden="1" x14ac:dyDescent="0.2">
      <c r="A596" s="6"/>
      <c r="B596" s="17" t="s">
        <v>92</v>
      </c>
      <c r="C596" s="6"/>
      <c r="D596" s="31"/>
      <c r="E596" s="31"/>
      <c r="F596" s="31"/>
      <c r="G596" s="31"/>
      <c r="H596" s="31"/>
      <c r="I596" s="41"/>
      <c r="J596" s="31"/>
      <c r="K596" s="31"/>
      <c r="L596" s="31"/>
      <c r="M596" s="31"/>
      <c r="N596" s="31"/>
      <c r="O596" s="192"/>
    </row>
    <row r="597" spans="1:75" hidden="1" x14ac:dyDescent="0.2">
      <c r="A597" s="6"/>
      <c r="B597" s="10" t="s">
        <v>156</v>
      </c>
      <c r="C597" s="6"/>
      <c r="D597" s="31"/>
      <c r="E597" s="31"/>
      <c r="F597" s="31"/>
      <c r="G597" s="31"/>
      <c r="H597" s="31"/>
      <c r="I597" s="41"/>
      <c r="J597" s="31"/>
      <c r="K597" s="31"/>
      <c r="L597" s="31"/>
      <c r="M597" s="31"/>
      <c r="N597" s="31"/>
      <c r="O597" s="192"/>
    </row>
    <row r="598" spans="1:75" hidden="1" x14ac:dyDescent="0.2">
      <c r="A598" s="6"/>
      <c r="B598" s="17" t="s">
        <v>157</v>
      </c>
      <c r="C598" s="6"/>
      <c r="D598" s="31"/>
      <c r="E598" s="31"/>
      <c r="F598" s="31"/>
      <c r="G598" s="31"/>
      <c r="H598" s="31"/>
      <c r="I598" s="41"/>
      <c r="J598" s="31"/>
      <c r="K598" s="31"/>
      <c r="L598" s="31"/>
      <c r="M598" s="31"/>
      <c r="N598" s="31"/>
      <c r="O598" s="192"/>
    </row>
    <row r="599" spans="1:75" ht="38.25" hidden="1" x14ac:dyDescent="0.2">
      <c r="A599" s="6" t="s">
        <v>104</v>
      </c>
      <c r="B599" s="103" t="s">
        <v>168</v>
      </c>
      <c r="C599" s="6"/>
      <c r="D599" s="31"/>
      <c r="E599" s="31"/>
      <c r="F599" s="31"/>
      <c r="G599" s="31"/>
      <c r="H599" s="31"/>
      <c r="I599" s="41"/>
      <c r="J599" s="31"/>
      <c r="K599" s="31"/>
      <c r="L599" s="31"/>
      <c r="M599" s="31"/>
      <c r="N599" s="31"/>
      <c r="O599" s="192"/>
    </row>
    <row r="600" spans="1:75" s="19" customFormat="1" x14ac:dyDescent="0.2">
      <c r="B600" s="18" t="s">
        <v>201</v>
      </c>
      <c r="C600" s="88">
        <f>C564+C575+C588</f>
        <v>651</v>
      </c>
      <c r="D600" s="48"/>
      <c r="E600" s="48">
        <f>E564+E575+E588</f>
        <v>32560692</v>
      </c>
      <c r="F600" s="48"/>
      <c r="G600" s="48">
        <f>G564+G575+G588</f>
        <v>3409432</v>
      </c>
      <c r="H600" s="48"/>
      <c r="I600" s="143"/>
      <c r="J600" s="48"/>
      <c r="K600" s="48">
        <f>K564+K575+K588</f>
        <v>11922305.99966</v>
      </c>
      <c r="L600" s="48"/>
      <c r="M600" s="48">
        <f>M564+M575+M588</f>
        <v>47892429.999660008</v>
      </c>
      <c r="N600" s="48">
        <v>546000</v>
      </c>
      <c r="O600" s="146">
        <f>M600+N600</f>
        <v>48438429.999660008</v>
      </c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  <c r="AA600" s="138"/>
      <c r="AB600" s="138"/>
      <c r="AC600" s="138"/>
      <c r="AD600" s="138"/>
      <c r="AE600" s="138"/>
      <c r="AF600" s="138"/>
      <c r="AG600" s="138"/>
      <c r="AH600" s="138"/>
      <c r="AI600" s="138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  <c r="AT600" s="138"/>
      <c r="AU600" s="138"/>
      <c r="AV600" s="138"/>
      <c r="AW600" s="138"/>
      <c r="AX600" s="138"/>
      <c r="AY600" s="138"/>
      <c r="AZ600" s="138"/>
      <c r="BA600" s="138"/>
      <c r="BB600" s="138"/>
      <c r="BC600" s="138"/>
      <c r="BD600" s="138"/>
      <c r="BE600" s="138"/>
      <c r="BF600" s="138"/>
      <c r="BG600" s="138"/>
      <c r="BH600" s="138"/>
      <c r="BI600" s="138"/>
      <c r="BJ600" s="138"/>
      <c r="BK600" s="138"/>
      <c r="BL600" s="138"/>
      <c r="BM600" s="138"/>
      <c r="BN600" s="138"/>
      <c r="BO600" s="138"/>
      <c r="BP600" s="138"/>
      <c r="BQ600" s="138"/>
      <c r="BR600" s="138"/>
      <c r="BS600" s="138"/>
      <c r="BT600" s="138"/>
      <c r="BU600" s="138"/>
      <c r="BV600" s="138"/>
      <c r="BW600" s="138"/>
    </row>
    <row r="601" spans="1:75" s="11" customFormat="1" x14ac:dyDescent="0.2">
      <c r="A601" s="4" t="s">
        <v>172</v>
      </c>
      <c r="B601" s="18" t="s">
        <v>202</v>
      </c>
      <c r="C601" s="4">
        <f>SUM(C602:C607)</f>
        <v>62</v>
      </c>
      <c r="D601" s="32"/>
      <c r="E601" s="32">
        <f>SUM(E602:E607)</f>
        <v>3035396</v>
      </c>
      <c r="F601" s="32"/>
      <c r="G601" s="32">
        <f>SUM(G602:G607)</f>
        <v>317844</v>
      </c>
      <c r="H601" s="32"/>
      <c r="I601" s="47"/>
      <c r="J601" s="32"/>
      <c r="K601" s="32">
        <f>SUM(K602:K607)</f>
        <v>1865223.26294</v>
      </c>
      <c r="L601" s="32"/>
      <c r="M601" s="32">
        <f>SUM(M602:M607)</f>
        <v>5218463.2629399998</v>
      </c>
      <c r="N601" s="32"/>
      <c r="O601" s="190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1"/>
      <c r="AT601" s="201"/>
      <c r="AU601" s="201"/>
      <c r="AV601" s="201"/>
      <c r="AW601" s="201"/>
      <c r="AX601" s="201"/>
      <c r="AY601" s="201"/>
      <c r="AZ601" s="201"/>
      <c r="BA601" s="201"/>
      <c r="BB601" s="201"/>
      <c r="BC601" s="201"/>
      <c r="BD601" s="201"/>
      <c r="BE601" s="201"/>
      <c r="BF601" s="201"/>
      <c r="BG601" s="201"/>
      <c r="BH601" s="201"/>
      <c r="BI601" s="201"/>
      <c r="BJ601" s="201"/>
      <c r="BK601" s="201"/>
      <c r="BL601" s="201"/>
      <c r="BM601" s="201"/>
      <c r="BN601" s="201"/>
      <c r="BO601" s="201"/>
      <c r="BP601" s="201"/>
      <c r="BQ601" s="201"/>
      <c r="BR601" s="201"/>
      <c r="BS601" s="201"/>
      <c r="BT601" s="201"/>
      <c r="BU601" s="201"/>
      <c r="BV601" s="201"/>
      <c r="BW601" s="201"/>
    </row>
    <row r="602" spans="1:75" ht="25.5" x14ac:dyDescent="0.2">
      <c r="A602" s="6" t="s">
        <v>96</v>
      </c>
      <c r="B602" s="16" t="s">
        <v>154</v>
      </c>
      <c r="C602" s="6"/>
      <c r="D602" s="31"/>
      <c r="E602" s="31"/>
      <c r="F602" s="31"/>
      <c r="G602" s="31"/>
      <c r="H602" s="31"/>
      <c r="I602" s="41"/>
      <c r="J602" s="31"/>
      <c r="K602" s="31"/>
      <c r="L602" s="31"/>
      <c r="M602" s="31"/>
      <c r="N602" s="31"/>
      <c r="O602" s="192"/>
    </row>
    <row r="603" spans="1:75" x14ac:dyDescent="0.2">
      <c r="A603" s="6"/>
      <c r="B603" s="10" t="s">
        <v>280</v>
      </c>
      <c r="C603" s="6">
        <v>9</v>
      </c>
      <c r="D603" s="31">
        <v>42278</v>
      </c>
      <c r="E603" s="31">
        <f t="shared" ref="E603" si="316">C603*D603</f>
        <v>380502</v>
      </c>
      <c r="F603" s="31">
        <f t="shared" ref="F603:F607" si="317">ROUND((D603*10.47143%),0)</f>
        <v>4427</v>
      </c>
      <c r="G603" s="31">
        <f>ROUND((C603*F603),0)</f>
        <v>39843</v>
      </c>
      <c r="H603" s="31">
        <v>16551.61</v>
      </c>
      <c r="I603" s="41">
        <v>1.8169999999999999</v>
      </c>
      <c r="J603" s="31">
        <f t="shared" ref="J603:J604" si="318">H603*I603</f>
        <v>30074.275369999999</v>
      </c>
      <c r="K603" s="31">
        <f>C603*J603+618.19</f>
        <v>271286.66833000001</v>
      </c>
      <c r="L603" s="31">
        <f t="shared" ref="L603:M605" si="319">D603+F603+J603</f>
        <v>76779.275370000003</v>
      </c>
      <c r="M603" s="31">
        <f t="shared" si="319"/>
        <v>691631.66833000001</v>
      </c>
      <c r="N603" s="31"/>
      <c r="O603" s="192">
        <f t="shared" ref="O603:O605" si="320">M603+N603</f>
        <v>691631.66833000001</v>
      </c>
    </row>
    <row r="604" spans="1:75" x14ac:dyDescent="0.2">
      <c r="A604" s="6"/>
      <c r="B604" s="103" t="s">
        <v>309</v>
      </c>
      <c r="C604" s="6">
        <v>40</v>
      </c>
      <c r="D604" s="31">
        <v>45180</v>
      </c>
      <c r="E604" s="31">
        <f>C604*D604+8</f>
        <v>1807208</v>
      </c>
      <c r="F604" s="31">
        <f t="shared" si="317"/>
        <v>4731</v>
      </c>
      <c r="G604" s="31">
        <f t="shared" ref="G604:G605" si="321">ROUND((C604*F604),0)</f>
        <v>189240</v>
      </c>
      <c r="H604" s="31">
        <v>16551.61</v>
      </c>
      <c r="I604" s="41">
        <v>1.8169999999999999</v>
      </c>
      <c r="J604" s="31">
        <f t="shared" si="318"/>
        <v>30074.275369999999</v>
      </c>
      <c r="K604" s="31">
        <f t="shared" ref="K604" si="322">C604*J604</f>
        <v>1202971.0148</v>
      </c>
      <c r="L604" s="31">
        <f t="shared" si="319"/>
        <v>79985.275370000003</v>
      </c>
      <c r="M604" s="31">
        <f t="shared" si="319"/>
        <v>3199419.0148</v>
      </c>
      <c r="N604" s="31"/>
      <c r="O604" s="192">
        <f t="shared" si="320"/>
        <v>3199419.0148</v>
      </c>
    </row>
    <row r="605" spans="1:75" x14ac:dyDescent="0.2">
      <c r="A605" s="6"/>
      <c r="B605" s="17" t="s">
        <v>305</v>
      </c>
      <c r="C605" s="6">
        <v>2</v>
      </c>
      <c r="D605" s="31">
        <v>155377</v>
      </c>
      <c r="E605" s="31">
        <f>C605*D605</f>
        <v>310754</v>
      </c>
      <c r="F605" s="31">
        <f t="shared" si="317"/>
        <v>16270</v>
      </c>
      <c r="G605" s="31">
        <f t="shared" si="321"/>
        <v>32540</v>
      </c>
      <c r="H605" s="31">
        <v>16551.61</v>
      </c>
      <c r="I605" s="41">
        <v>1.8169999999999999</v>
      </c>
      <c r="J605" s="31">
        <f t="shared" ref="J605" si="323">H605*I605</f>
        <v>30074.275369999999</v>
      </c>
      <c r="K605" s="31">
        <f t="shared" ref="K605" si="324">C605*J605</f>
        <v>60148.550739999999</v>
      </c>
      <c r="L605" s="31">
        <f t="shared" ref="L605" si="325">D605+F605+J605</f>
        <v>201721.27536999999</v>
      </c>
      <c r="M605" s="31">
        <f t="shared" si="319"/>
        <v>403442.55073999998</v>
      </c>
      <c r="N605" s="31"/>
      <c r="O605" s="192">
        <f t="shared" si="320"/>
        <v>403442.55073999998</v>
      </c>
    </row>
    <row r="606" spans="1:75" ht="38.25" x14ac:dyDescent="0.2">
      <c r="A606" s="6" t="s">
        <v>97</v>
      </c>
      <c r="B606" s="16" t="s">
        <v>173</v>
      </c>
      <c r="C606" s="6"/>
      <c r="D606" s="31"/>
      <c r="E606" s="31"/>
      <c r="F606" s="31"/>
      <c r="G606" s="31"/>
      <c r="H606" s="31"/>
      <c r="I606" s="41"/>
      <c r="J606" s="31"/>
      <c r="K606" s="31"/>
      <c r="L606" s="31"/>
      <c r="M606" s="31"/>
      <c r="N606" s="31"/>
      <c r="O606" s="192"/>
    </row>
    <row r="607" spans="1:75" x14ac:dyDescent="0.2">
      <c r="A607" s="6"/>
      <c r="B607" s="10" t="s">
        <v>280</v>
      </c>
      <c r="C607" s="6">
        <v>11</v>
      </c>
      <c r="D607" s="31">
        <v>48812</v>
      </c>
      <c r="E607" s="31">
        <f>C607*D607</f>
        <v>536932</v>
      </c>
      <c r="F607" s="31">
        <f t="shared" si="317"/>
        <v>5111</v>
      </c>
      <c r="G607" s="31">
        <f t="shared" ref="G607" si="326">ROUND((C607*F607),0)</f>
        <v>56221</v>
      </c>
      <c r="H607" s="31">
        <v>16551.61</v>
      </c>
      <c r="I607" s="41">
        <v>1.8169999999999999</v>
      </c>
      <c r="J607" s="31">
        <f t="shared" ref="J607" si="327">H607*I607</f>
        <v>30074.275369999999</v>
      </c>
      <c r="K607" s="31">
        <f t="shared" ref="K607" si="328">C607*J607</f>
        <v>330817.02906999999</v>
      </c>
      <c r="L607" s="31">
        <f t="shared" ref="L607:M607" si="329">D607+F607+J607</f>
        <v>83997.275370000003</v>
      </c>
      <c r="M607" s="31">
        <f t="shared" si="329"/>
        <v>923970.02906999993</v>
      </c>
      <c r="N607" s="31"/>
      <c r="O607" s="192">
        <f t="shared" ref="O607" si="330">M607+N607</f>
        <v>923970.02906999993</v>
      </c>
    </row>
    <row r="608" spans="1:75" hidden="1" x14ac:dyDescent="0.2">
      <c r="A608" s="6"/>
      <c r="B608" s="17" t="s">
        <v>92</v>
      </c>
      <c r="C608" s="6"/>
      <c r="D608" s="31"/>
      <c r="E608" s="31"/>
      <c r="F608" s="31"/>
      <c r="G608" s="31"/>
      <c r="H608" s="31"/>
      <c r="I608" s="41"/>
      <c r="J608" s="31"/>
      <c r="K608" s="31"/>
      <c r="L608" s="31"/>
      <c r="M608" s="31"/>
      <c r="N608" s="31"/>
      <c r="O608" s="192"/>
    </row>
    <row r="609" spans="1:75" hidden="1" x14ac:dyDescent="0.2">
      <c r="A609" s="6"/>
      <c r="B609" s="10" t="s">
        <v>156</v>
      </c>
      <c r="C609" s="6"/>
      <c r="D609" s="31"/>
      <c r="E609" s="31"/>
      <c r="F609" s="31"/>
      <c r="G609" s="31"/>
      <c r="H609" s="31"/>
      <c r="I609" s="41"/>
      <c r="J609" s="31"/>
      <c r="K609" s="31"/>
      <c r="L609" s="31"/>
      <c r="M609" s="31"/>
      <c r="N609" s="31"/>
      <c r="O609" s="192"/>
    </row>
    <row r="610" spans="1:75" hidden="1" x14ac:dyDescent="0.2">
      <c r="A610" s="6"/>
      <c r="B610" s="17" t="s">
        <v>157</v>
      </c>
      <c r="C610" s="6"/>
      <c r="D610" s="31"/>
      <c r="E610" s="31"/>
      <c r="F610" s="31"/>
      <c r="G610" s="31"/>
      <c r="H610" s="31"/>
      <c r="I610" s="41"/>
      <c r="J610" s="31"/>
      <c r="K610" s="31"/>
      <c r="L610" s="31"/>
      <c r="M610" s="31"/>
      <c r="N610" s="31"/>
      <c r="O610" s="192"/>
    </row>
    <row r="611" spans="1:75" ht="38.25" hidden="1" x14ac:dyDescent="0.2">
      <c r="A611" s="6" t="s">
        <v>98</v>
      </c>
      <c r="B611" s="16" t="s">
        <v>158</v>
      </c>
      <c r="C611" s="6"/>
      <c r="D611" s="31"/>
      <c r="E611" s="31"/>
      <c r="F611" s="31"/>
      <c r="G611" s="31"/>
      <c r="H611" s="31"/>
      <c r="I611" s="41"/>
      <c r="J611" s="31"/>
      <c r="K611" s="31"/>
      <c r="L611" s="31"/>
      <c r="M611" s="31"/>
      <c r="N611" s="31"/>
      <c r="O611" s="192"/>
    </row>
    <row r="612" spans="1:75" s="11" customFormat="1" x14ac:dyDescent="0.2">
      <c r="A612" s="4">
        <v>5</v>
      </c>
      <c r="B612" s="5" t="s">
        <v>174</v>
      </c>
      <c r="C612" s="4">
        <f>SUM(C613:C620)</f>
        <v>95</v>
      </c>
      <c r="D612" s="32"/>
      <c r="E612" s="32">
        <f>SUM(E613:E620)</f>
        <v>5244090</v>
      </c>
      <c r="F612" s="31"/>
      <c r="G612" s="32">
        <f>SUM(G613:G620)</f>
        <v>549105</v>
      </c>
      <c r="H612" s="32"/>
      <c r="I612" s="47"/>
      <c r="J612" s="31"/>
      <c r="K612" s="32">
        <f>SUM(K613:K620)</f>
        <v>2857056.1601499999</v>
      </c>
      <c r="L612" s="32"/>
      <c r="M612" s="32">
        <f>SUM(M613:M620)</f>
        <v>8650251.1601500008</v>
      </c>
      <c r="N612" s="32"/>
      <c r="O612" s="190"/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1"/>
      <c r="AT612" s="201"/>
      <c r="AU612" s="201"/>
      <c r="AV612" s="201"/>
      <c r="AW612" s="201"/>
      <c r="AX612" s="201"/>
      <c r="AY612" s="201"/>
      <c r="AZ612" s="201"/>
      <c r="BA612" s="201"/>
      <c r="BB612" s="201"/>
      <c r="BC612" s="201"/>
      <c r="BD612" s="201"/>
      <c r="BE612" s="201"/>
      <c r="BF612" s="201"/>
      <c r="BG612" s="201"/>
      <c r="BH612" s="201"/>
      <c r="BI612" s="201"/>
      <c r="BJ612" s="201"/>
      <c r="BK612" s="201"/>
      <c r="BL612" s="201"/>
      <c r="BM612" s="201"/>
      <c r="BN612" s="201"/>
      <c r="BO612" s="201"/>
      <c r="BP612" s="201"/>
      <c r="BQ612" s="201"/>
      <c r="BR612" s="201"/>
      <c r="BS612" s="201"/>
      <c r="BT612" s="201"/>
      <c r="BU612" s="201"/>
      <c r="BV612" s="201"/>
      <c r="BW612" s="201"/>
    </row>
    <row r="613" spans="1:75" ht="25.5" x14ac:dyDescent="0.2">
      <c r="A613" s="6" t="s">
        <v>99</v>
      </c>
      <c r="B613" s="14" t="s">
        <v>160</v>
      </c>
      <c r="C613" s="6"/>
      <c r="D613" s="31"/>
      <c r="E613" s="31"/>
      <c r="F613" s="31"/>
      <c r="G613" s="31"/>
      <c r="H613" s="31"/>
      <c r="I613" s="41"/>
      <c r="J613" s="31"/>
      <c r="K613" s="31"/>
      <c r="L613" s="31"/>
      <c r="M613" s="31"/>
      <c r="N613" s="31"/>
      <c r="O613" s="192"/>
    </row>
    <row r="614" spans="1:75" x14ac:dyDescent="0.2">
      <c r="A614" s="6"/>
      <c r="B614" s="10" t="s">
        <v>280</v>
      </c>
      <c r="C614" s="6">
        <v>10</v>
      </c>
      <c r="D614" s="31">
        <v>53434</v>
      </c>
      <c r="E614" s="31">
        <f>C614*D614</f>
        <v>534340</v>
      </c>
      <c r="F614" s="31">
        <f t="shared" ref="F614:F615" si="331">ROUND((D614*10.47143%),0)</f>
        <v>5595</v>
      </c>
      <c r="G614" s="31">
        <f t="shared" ref="G614:G615" si="332">ROUND((C614*F614),0)</f>
        <v>55950</v>
      </c>
      <c r="H614" s="31">
        <v>16551.61</v>
      </c>
      <c r="I614" s="41">
        <v>1.8169999999999999</v>
      </c>
      <c r="J614" s="31">
        <f t="shared" ref="J614:J615" si="333">H614*I614</f>
        <v>30074.275369999999</v>
      </c>
      <c r="K614" s="31">
        <f t="shared" ref="K614:K615" si="334">C614*J614</f>
        <v>300742.7537</v>
      </c>
      <c r="L614" s="31">
        <f t="shared" ref="L614:M615" si="335">D614+F614+J614</f>
        <v>89103.275370000003</v>
      </c>
      <c r="M614" s="31">
        <f t="shared" si="335"/>
        <v>891032.7537</v>
      </c>
      <c r="N614" s="31"/>
      <c r="O614" s="192">
        <f t="shared" ref="O614:O615" si="336">M614+N614</f>
        <v>891032.7537</v>
      </c>
    </row>
    <row r="615" spans="1:75" x14ac:dyDescent="0.2">
      <c r="A615" s="6"/>
      <c r="B615" s="103" t="s">
        <v>309</v>
      </c>
      <c r="C615" s="6">
        <v>65</v>
      </c>
      <c r="D615" s="31">
        <v>53434</v>
      </c>
      <c r="E615" s="31">
        <f>C615*D615</f>
        <v>3473210</v>
      </c>
      <c r="F615" s="31">
        <f t="shared" si="331"/>
        <v>5595</v>
      </c>
      <c r="G615" s="31">
        <f t="shared" si="332"/>
        <v>363675</v>
      </c>
      <c r="H615" s="31">
        <v>16551.61</v>
      </c>
      <c r="I615" s="41">
        <v>1.8169999999999999</v>
      </c>
      <c r="J615" s="31">
        <f t="shared" si="333"/>
        <v>30074.275369999999</v>
      </c>
      <c r="K615" s="31">
        <f t="shared" si="334"/>
        <v>1954827.8990499999</v>
      </c>
      <c r="L615" s="31">
        <f t="shared" si="335"/>
        <v>89103.275370000003</v>
      </c>
      <c r="M615" s="31">
        <f t="shared" si="335"/>
        <v>5791712.8990500001</v>
      </c>
      <c r="N615" s="31"/>
      <c r="O615" s="192">
        <f t="shared" si="336"/>
        <v>5791712.8990500001</v>
      </c>
    </row>
    <row r="616" spans="1:75" hidden="1" x14ac:dyDescent="0.2">
      <c r="A616" s="6"/>
      <c r="B616" s="7" t="s">
        <v>92</v>
      </c>
      <c r="C616" s="6"/>
      <c r="D616" s="31"/>
      <c r="E616" s="31"/>
      <c r="F616" s="31"/>
      <c r="G616" s="31"/>
      <c r="H616" s="31"/>
      <c r="I616" s="41"/>
      <c r="J616" s="31"/>
      <c r="K616" s="31"/>
      <c r="L616" s="31"/>
      <c r="M616" s="31"/>
      <c r="N616" s="31"/>
      <c r="O616" s="192"/>
    </row>
    <row r="617" spans="1:75" hidden="1" x14ac:dyDescent="0.2">
      <c r="A617" s="6"/>
      <c r="B617" s="103" t="s">
        <v>156</v>
      </c>
      <c r="C617" s="6"/>
      <c r="D617" s="31"/>
      <c r="E617" s="31"/>
      <c r="F617" s="31"/>
      <c r="G617" s="31"/>
      <c r="H617" s="31"/>
      <c r="I617" s="41"/>
      <c r="J617" s="31"/>
      <c r="K617" s="31"/>
      <c r="L617" s="31"/>
      <c r="M617" s="31"/>
      <c r="N617" s="31"/>
      <c r="O617" s="192"/>
    </row>
    <row r="618" spans="1:75" hidden="1" x14ac:dyDescent="0.2">
      <c r="A618" s="6"/>
      <c r="B618" s="7" t="s">
        <v>157</v>
      </c>
      <c r="C618" s="6"/>
      <c r="D618" s="31"/>
      <c r="E618" s="31"/>
      <c r="F618" s="31"/>
      <c r="G618" s="31"/>
      <c r="H618" s="31"/>
      <c r="I618" s="41"/>
      <c r="J618" s="31"/>
      <c r="K618" s="31"/>
      <c r="L618" s="31"/>
      <c r="M618" s="31"/>
      <c r="N618" s="31"/>
      <c r="O618" s="192"/>
    </row>
    <row r="619" spans="1:75" ht="38.25" x14ac:dyDescent="0.2">
      <c r="A619" s="6" t="s">
        <v>100</v>
      </c>
      <c r="B619" s="16" t="s">
        <v>175</v>
      </c>
      <c r="C619" s="6"/>
      <c r="D619" s="31"/>
      <c r="E619" s="31"/>
      <c r="F619" s="31"/>
      <c r="G619" s="31"/>
      <c r="H619" s="31"/>
      <c r="I619" s="41"/>
      <c r="J619" s="31"/>
      <c r="K619" s="31"/>
      <c r="L619" s="31"/>
      <c r="M619" s="31"/>
      <c r="N619" s="31"/>
      <c r="O619" s="192"/>
    </row>
    <row r="620" spans="1:75" x14ac:dyDescent="0.2">
      <c r="A620" s="6"/>
      <c r="B620" s="10" t="s">
        <v>280</v>
      </c>
      <c r="C620" s="6">
        <v>20</v>
      </c>
      <c r="D620" s="31">
        <v>61827</v>
      </c>
      <c r="E620" s="31">
        <f>C620*D620</f>
        <v>1236540</v>
      </c>
      <c r="F620" s="31">
        <f t="shared" ref="F620" si="337">ROUND((D620*10.47143%),0)</f>
        <v>6474</v>
      </c>
      <c r="G620" s="31">
        <f t="shared" ref="G620" si="338">ROUND((C620*F620),0)</f>
        <v>129480</v>
      </c>
      <c r="H620" s="31">
        <v>16551.61</v>
      </c>
      <c r="I620" s="41">
        <v>1.8169999999999999</v>
      </c>
      <c r="J620" s="31">
        <f t="shared" ref="J620" si="339">H620*I620</f>
        <v>30074.275369999999</v>
      </c>
      <c r="K620" s="31">
        <f t="shared" ref="K620" si="340">C620*J620</f>
        <v>601485.5074</v>
      </c>
      <c r="L620" s="31">
        <f t="shared" ref="L620:M620" si="341">D620+F620+J620</f>
        <v>98375.275370000003</v>
      </c>
      <c r="M620" s="31">
        <f t="shared" si="341"/>
        <v>1967505.5074</v>
      </c>
      <c r="N620" s="31"/>
      <c r="O620" s="192">
        <f t="shared" ref="O620" si="342">M620+N620</f>
        <v>1967505.5074</v>
      </c>
    </row>
    <row r="621" spans="1:75" hidden="1" x14ac:dyDescent="0.2">
      <c r="A621" s="6"/>
      <c r="B621" s="17" t="s">
        <v>92</v>
      </c>
      <c r="C621" s="6"/>
      <c r="D621" s="31"/>
      <c r="E621" s="31"/>
      <c r="F621" s="31"/>
      <c r="G621" s="31"/>
      <c r="H621" s="31"/>
      <c r="I621" s="41"/>
      <c r="J621" s="31"/>
      <c r="K621" s="31"/>
      <c r="L621" s="31"/>
      <c r="M621" s="31"/>
      <c r="N621" s="31"/>
      <c r="O621" s="192"/>
    </row>
    <row r="622" spans="1:75" hidden="1" x14ac:dyDescent="0.2">
      <c r="A622" s="6"/>
      <c r="B622" s="10" t="s">
        <v>156</v>
      </c>
      <c r="C622" s="6"/>
      <c r="D622" s="31"/>
      <c r="E622" s="31"/>
      <c r="F622" s="31"/>
      <c r="G622" s="31"/>
      <c r="H622" s="31"/>
      <c r="I622" s="41"/>
      <c r="J622" s="31"/>
      <c r="K622" s="31"/>
      <c r="L622" s="31"/>
      <c r="M622" s="31"/>
      <c r="N622" s="31"/>
      <c r="O622" s="192"/>
    </row>
    <row r="623" spans="1:75" hidden="1" x14ac:dyDescent="0.2">
      <c r="A623" s="6"/>
      <c r="B623" s="17" t="s">
        <v>157</v>
      </c>
      <c r="C623" s="6"/>
      <c r="D623" s="31"/>
      <c r="E623" s="31"/>
      <c r="F623" s="31"/>
      <c r="G623" s="31"/>
      <c r="H623" s="31"/>
      <c r="I623" s="41"/>
      <c r="J623" s="31"/>
      <c r="K623" s="31"/>
      <c r="L623" s="31"/>
      <c r="M623" s="31"/>
      <c r="N623" s="31"/>
      <c r="O623" s="192"/>
    </row>
    <row r="624" spans="1:75" ht="38.25" hidden="1" x14ac:dyDescent="0.2">
      <c r="A624" s="6" t="s">
        <v>101</v>
      </c>
      <c r="B624" s="103" t="s">
        <v>162</v>
      </c>
      <c r="C624" s="6"/>
      <c r="D624" s="31"/>
      <c r="E624" s="31"/>
      <c r="F624" s="31"/>
      <c r="G624" s="31"/>
      <c r="H624" s="31"/>
      <c r="I624" s="41"/>
      <c r="J624" s="31"/>
      <c r="K624" s="31"/>
      <c r="L624" s="31"/>
      <c r="M624" s="31"/>
      <c r="N624" s="31"/>
      <c r="O624" s="192"/>
    </row>
    <row r="625" spans="1:75" s="11" customFormat="1" x14ac:dyDescent="0.2">
      <c r="A625" s="4">
        <v>6</v>
      </c>
      <c r="B625" s="5" t="s">
        <v>170</v>
      </c>
      <c r="C625" s="4">
        <f>SUM(C626:C629)</f>
        <v>13</v>
      </c>
      <c r="D625" s="32"/>
      <c r="E625" s="32">
        <f>SUM(E626:E629)</f>
        <v>749021</v>
      </c>
      <c r="F625" s="31"/>
      <c r="G625" s="32">
        <f>SUM(G626:G629)</f>
        <v>78429</v>
      </c>
      <c r="H625" s="32"/>
      <c r="I625" s="47"/>
      <c r="J625" s="31"/>
      <c r="K625" s="32">
        <f>SUM(K626:K629)</f>
        <v>390965.57980999997</v>
      </c>
      <c r="L625" s="32"/>
      <c r="M625" s="32">
        <f>SUM(M626:M629)</f>
        <v>1218415.57981</v>
      </c>
      <c r="N625" s="32"/>
      <c r="O625" s="190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1"/>
      <c r="AT625" s="201"/>
      <c r="AU625" s="201"/>
      <c r="AV625" s="201"/>
      <c r="AW625" s="201"/>
      <c r="AX625" s="201"/>
      <c r="AY625" s="201"/>
      <c r="AZ625" s="201"/>
      <c r="BA625" s="201"/>
      <c r="BB625" s="201"/>
      <c r="BC625" s="201"/>
      <c r="BD625" s="201"/>
      <c r="BE625" s="201"/>
      <c r="BF625" s="201"/>
      <c r="BG625" s="201"/>
      <c r="BH625" s="201"/>
      <c r="BI625" s="201"/>
      <c r="BJ625" s="201"/>
      <c r="BK625" s="201"/>
      <c r="BL625" s="201"/>
      <c r="BM625" s="201"/>
      <c r="BN625" s="201"/>
      <c r="BO625" s="201"/>
      <c r="BP625" s="201"/>
      <c r="BQ625" s="201"/>
      <c r="BR625" s="201"/>
      <c r="BS625" s="201"/>
      <c r="BT625" s="201"/>
      <c r="BU625" s="201"/>
      <c r="BV625" s="201"/>
      <c r="BW625" s="201"/>
    </row>
    <row r="626" spans="1:75" ht="25.5" x14ac:dyDescent="0.2">
      <c r="A626" s="6" t="s">
        <v>102</v>
      </c>
      <c r="B626" s="14" t="s">
        <v>166</v>
      </c>
      <c r="C626" s="6"/>
      <c r="D626" s="31"/>
      <c r="E626" s="31"/>
      <c r="F626" s="31"/>
      <c r="G626" s="31"/>
      <c r="H626" s="31"/>
      <c r="I626" s="41"/>
      <c r="J626" s="31"/>
      <c r="K626" s="31"/>
      <c r="L626" s="31"/>
      <c r="M626" s="31"/>
      <c r="N626" s="31"/>
      <c r="O626" s="192"/>
    </row>
    <row r="627" spans="1:75" hidden="1" x14ac:dyDescent="0.2">
      <c r="A627" s="6"/>
      <c r="B627" s="103" t="s">
        <v>91</v>
      </c>
      <c r="C627" s="6"/>
      <c r="D627" s="31"/>
      <c r="E627" s="31"/>
      <c r="F627" s="31"/>
      <c r="G627" s="31"/>
      <c r="H627" s="31"/>
      <c r="I627" s="41"/>
      <c r="J627" s="31"/>
      <c r="K627" s="31"/>
      <c r="L627" s="31"/>
      <c r="M627" s="31"/>
      <c r="N627" s="31"/>
      <c r="O627" s="192"/>
    </row>
    <row r="628" spans="1:75" hidden="1" x14ac:dyDescent="0.2">
      <c r="A628" s="6"/>
      <c r="B628" s="7" t="s">
        <v>92</v>
      </c>
      <c r="C628" s="6"/>
      <c r="D628" s="31"/>
      <c r="E628" s="31"/>
      <c r="F628" s="31"/>
      <c r="G628" s="31"/>
      <c r="H628" s="31"/>
      <c r="I628" s="41"/>
      <c r="J628" s="31"/>
      <c r="K628" s="31"/>
      <c r="L628" s="31"/>
      <c r="M628" s="31"/>
      <c r="N628" s="31"/>
      <c r="O628" s="192"/>
    </row>
    <row r="629" spans="1:75" x14ac:dyDescent="0.2">
      <c r="A629" s="6"/>
      <c r="B629" s="10" t="s">
        <v>280</v>
      </c>
      <c r="C629" s="6">
        <v>13</v>
      </c>
      <c r="D629" s="31">
        <v>57617</v>
      </c>
      <c r="E629" s="31">
        <f>C629*D629</f>
        <v>749021</v>
      </c>
      <c r="F629" s="31">
        <f t="shared" ref="F629" si="343">ROUND((D629*10.47143%),0)</f>
        <v>6033</v>
      </c>
      <c r="G629" s="31">
        <f t="shared" ref="G629" si="344">ROUND((C629*F629),0)</f>
        <v>78429</v>
      </c>
      <c r="H629" s="31">
        <v>16551.61</v>
      </c>
      <c r="I629" s="41">
        <v>1.8169999999999999</v>
      </c>
      <c r="J629" s="31">
        <f t="shared" ref="J629" si="345">H629*I629</f>
        <v>30074.275369999999</v>
      </c>
      <c r="K629" s="31">
        <f t="shared" ref="K629" si="346">C629*J629</f>
        <v>390965.57980999997</v>
      </c>
      <c r="L629" s="31">
        <f t="shared" ref="L629:M629" si="347">D629+F629+J629</f>
        <v>93724.275370000003</v>
      </c>
      <c r="M629" s="31">
        <f t="shared" si="347"/>
        <v>1218415.57981</v>
      </c>
      <c r="N629" s="31"/>
      <c r="O629" s="192">
        <f t="shared" ref="O629" si="348">M629+N629</f>
        <v>1218415.57981</v>
      </c>
    </row>
    <row r="630" spans="1:75" hidden="1" x14ac:dyDescent="0.2">
      <c r="A630" s="6"/>
      <c r="B630" s="7" t="s">
        <v>157</v>
      </c>
      <c r="C630" s="6"/>
      <c r="D630" s="31"/>
      <c r="E630" s="31"/>
      <c r="F630" s="31"/>
      <c r="G630" s="31"/>
      <c r="H630" s="31"/>
      <c r="I630" s="41"/>
      <c r="J630" s="31"/>
      <c r="K630" s="31"/>
      <c r="L630" s="31"/>
      <c r="M630" s="31"/>
      <c r="N630" s="31"/>
      <c r="O630" s="192"/>
    </row>
    <row r="631" spans="1:75" ht="38.25" hidden="1" x14ac:dyDescent="0.2">
      <c r="A631" s="6" t="s">
        <v>103</v>
      </c>
      <c r="B631" s="16" t="s">
        <v>175</v>
      </c>
      <c r="C631" s="6"/>
      <c r="D631" s="31"/>
      <c r="E631" s="31"/>
      <c r="F631" s="31"/>
      <c r="G631" s="31"/>
      <c r="H631" s="31"/>
      <c r="I631" s="41"/>
      <c r="J631" s="31"/>
      <c r="K631" s="31"/>
      <c r="L631" s="31"/>
      <c r="M631" s="31"/>
      <c r="N631" s="31"/>
      <c r="O631" s="192"/>
    </row>
    <row r="632" spans="1:75" hidden="1" x14ac:dyDescent="0.2">
      <c r="A632" s="6"/>
      <c r="B632" s="10" t="s">
        <v>91</v>
      </c>
      <c r="C632" s="6"/>
      <c r="D632" s="31"/>
      <c r="E632" s="31"/>
      <c r="F632" s="31"/>
      <c r="G632" s="31"/>
      <c r="H632" s="31"/>
      <c r="I632" s="41"/>
      <c r="J632" s="31"/>
      <c r="K632" s="31"/>
      <c r="L632" s="31"/>
      <c r="M632" s="31"/>
      <c r="N632" s="31"/>
      <c r="O632" s="192"/>
    </row>
    <row r="633" spans="1:75" hidden="1" x14ac:dyDescent="0.2">
      <c r="A633" s="6"/>
      <c r="B633" s="17" t="s">
        <v>92</v>
      </c>
      <c r="C633" s="6"/>
      <c r="D633" s="31"/>
      <c r="E633" s="31"/>
      <c r="F633" s="31"/>
      <c r="G633" s="31"/>
      <c r="H633" s="31"/>
      <c r="I633" s="41"/>
      <c r="J633" s="31"/>
      <c r="K633" s="31"/>
      <c r="L633" s="31"/>
      <c r="M633" s="31"/>
      <c r="N633" s="31"/>
      <c r="O633" s="192"/>
    </row>
    <row r="634" spans="1:75" hidden="1" x14ac:dyDescent="0.2">
      <c r="A634" s="6"/>
      <c r="B634" s="10" t="s">
        <v>156</v>
      </c>
      <c r="C634" s="6"/>
      <c r="D634" s="31"/>
      <c r="E634" s="31"/>
      <c r="F634" s="31"/>
      <c r="G634" s="31"/>
      <c r="H634" s="31"/>
      <c r="I634" s="41"/>
      <c r="J634" s="31"/>
      <c r="K634" s="31"/>
      <c r="L634" s="31"/>
      <c r="M634" s="31"/>
      <c r="N634" s="31"/>
      <c r="O634" s="192"/>
    </row>
    <row r="635" spans="1:75" hidden="1" x14ac:dyDescent="0.2">
      <c r="A635" s="6"/>
      <c r="B635" s="17" t="s">
        <v>157</v>
      </c>
      <c r="C635" s="6"/>
      <c r="D635" s="31"/>
      <c r="E635" s="31"/>
      <c r="F635" s="31"/>
      <c r="G635" s="31"/>
      <c r="H635" s="31"/>
      <c r="I635" s="41"/>
      <c r="J635" s="31"/>
      <c r="K635" s="31"/>
      <c r="L635" s="31"/>
      <c r="M635" s="31"/>
      <c r="N635" s="31"/>
      <c r="O635" s="192"/>
    </row>
    <row r="636" spans="1:75" ht="38.25" hidden="1" x14ac:dyDescent="0.2">
      <c r="A636" s="6" t="s">
        <v>104</v>
      </c>
      <c r="B636" s="103" t="s">
        <v>168</v>
      </c>
      <c r="C636" s="6"/>
      <c r="D636" s="31"/>
      <c r="E636" s="31"/>
      <c r="F636" s="31"/>
      <c r="G636" s="31"/>
      <c r="H636" s="31"/>
      <c r="I636" s="41"/>
      <c r="J636" s="31"/>
      <c r="K636" s="31"/>
      <c r="L636" s="31"/>
      <c r="M636" s="31"/>
      <c r="N636" s="31"/>
      <c r="O636" s="192"/>
    </row>
    <row r="637" spans="1:75" x14ac:dyDescent="0.2">
      <c r="B637" s="18" t="s">
        <v>203</v>
      </c>
      <c r="C637" s="88">
        <f>C601+C612+C625</f>
        <v>170</v>
      </c>
      <c r="D637" s="48"/>
      <c r="E637" s="48">
        <f>E601+E612+E625</f>
        <v>9028507</v>
      </c>
      <c r="F637" s="48"/>
      <c r="G637" s="48">
        <f>G601+G612+G625</f>
        <v>945378</v>
      </c>
      <c r="H637" s="48"/>
      <c r="I637" s="143"/>
      <c r="J637" s="48"/>
      <c r="K637" s="48">
        <f>K601+K612+K625</f>
        <v>5113245.0028999997</v>
      </c>
      <c r="L637" s="48"/>
      <c r="M637" s="48">
        <f>M601+M612+M625</f>
        <v>15087130.002900001</v>
      </c>
      <c r="N637" s="48">
        <v>235000</v>
      </c>
      <c r="O637" s="146">
        <f>M637+N637</f>
        <v>15322130.002900001</v>
      </c>
    </row>
    <row r="638" spans="1:75" hidden="1" x14ac:dyDescent="0.2">
      <c r="A638" s="6"/>
      <c r="B638" s="17" t="s">
        <v>92</v>
      </c>
      <c r="C638" s="6"/>
      <c r="D638" s="31"/>
      <c r="E638" s="31"/>
      <c r="F638" s="31"/>
      <c r="G638" s="31"/>
      <c r="H638" s="31"/>
      <c r="I638" s="41"/>
      <c r="J638" s="31"/>
      <c r="K638" s="31"/>
      <c r="L638" s="31"/>
      <c r="M638" s="31"/>
      <c r="N638" s="31"/>
      <c r="O638" s="192"/>
    </row>
    <row r="639" spans="1:75" ht="38.25" hidden="1" x14ac:dyDescent="0.2">
      <c r="A639" s="6" t="s">
        <v>97</v>
      </c>
      <c r="B639" s="16" t="s">
        <v>173</v>
      </c>
      <c r="C639" s="6"/>
      <c r="D639" s="31"/>
      <c r="E639" s="31"/>
      <c r="F639" s="31"/>
      <c r="G639" s="31"/>
      <c r="H639" s="31"/>
      <c r="I639" s="41"/>
      <c r="J639" s="31"/>
      <c r="K639" s="31"/>
      <c r="L639" s="31"/>
      <c r="M639" s="31"/>
      <c r="N639" s="31"/>
      <c r="O639" s="192"/>
    </row>
    <row r="640" spans="1:75" hidden="1" x14ac:dyDescent="0.2">
      <c r="A640" s="6"/>
      <c r="B640" s="10" t="s">
        <v>91</v>
      </c>
      <c r="C640" s="6"/>
      <c r="D640" s="31"/>
      <c r="E640" s="31"/>
      <c r="F640" s="31"/>
      <c r="G640" s="31"/>
      <c r="H640" s="31"/>
      <c r="I640" s="41"/>
      <c r="J640" s="31"/>
      <c r="K640" s="31"/>
      <c r="L640" s="31"/>
      <c r="M640" s="31"/>
      <c r="N640" s="31"/>
      <c r="O640" s="192"/>
    </row>
    <row r="641" spans="1:75" hidden="1" x14ac:dyDescent="0.2">
      <c r="A641" s="6"/>
      <c r="B641" s="17" t="s">
        <v>92</v>
      </c>
      <c r="C641" s="6"/>
      <c r="D641" s="31"/>
      <c r="E641" s="31"/>
      <c r="F641" s="31"/>
      <c r="G641" s="31"/>
      <c r="H641" s="31"/>
      <c r="I641" s="41"/>
      <c r="J641" s="31"/>
      <c r="K641" s="31"/>
      <c r="L641" s="31"/>
      <c r="M641" s="31"/>
      <c r="N641" s="31"/>
      <c r="O641" s="192"/>
    </row>
    <row r="642" spans="1:75" hidden="1" x14ac:dyDescent="0.2">
      <c r="A642" s="6"/>
      <c r="B642" s="10" t="s">
        <v>156</v>
      </c>
      <c r="C642" s="6"/>
      <c r="D642" s="31"/>
      <c r="E642" s="31"/>
      <c r="F642" s="31"/>
      <c r="G642" s="31"/>
      <c r="H642" s="31"/>
      <c r="I642" s="41"/>
      <c r="J642" s="31"/>
      <c r="K642" s="31"/>
      <c r="L642" s="31"/>
      <c r="M642" s="31"/>
      <c r="N642" s="31"/>
      <c r="O642" s="192"/>
    </row>
    <row r="643" spans="1:75" hidden="1" x14ac:dyDescent="0.2">
      <c r="A643" s="6"/>
      <c r="B643" s="17" t="s">
        <v>157</v>
      </c>
      <c r="C643" s="6"/>
      <c r="D643" s="31"/>
      <c r="E643" s="31"/>
      <c r="F643" s="31"/>
      <c r="G643" s="31"/>
      <c r="H643" s="31"/>
      <c r="I643" s="41"/>
      <c r="J643" s="31"/>
      <c r="K643" s="31"/>
      <c r="L643" s="31"/>
      <c r="M643" s="31"/>
      <c r="N643" s="31"/>
      <c r="O643" s="192"/>
    </row>
    <row r="644" spans="1:75" ht="38.25" hidden="1" x14ac:dyDescent="0.2">
      <c r="A644" s="6" t="s">
        <v>98</v>
      </c>
      <c r="B644" s="16" t="s">
        <v>158</v>
      </c>
      <c r="C644" s="6"/>
      <c r="D644" s="31"/>
      <c r="E644" s="31"/>
      <c r="F644" s="31"/>
      <c r="G644" s="31"/>
      <c r="H644" s="31"/>
      <c r="I644" s="41"/>
      <c r="J644" s="31"/>
      <c r="K644" s="31"/>
      <c r="L644" s="31"/>
      <c r="M644" s="31"/>
      <c r="N644" s="31"/>
      <c r="O644" s="192"/>
    </row>
    <row r="645" spans="1:75" s="11" customFormat="1" x14ac:dyDescent="0.2">
      <c r="A645" s="4" t="s">
        <v>172</v>
      </c>
      <c r="B645" s="18" t="s">
        <v>204</v>
      </c>
      <c r="C645" s="4">
        <f>SUM(C646:C656)</f>
        <v>48</v>
      </c>
      <c r="D645" s="32"/>
      <c r="E645" s="32">
        <f>SUM(E646:E656)</f>
        <v>2029344</v>
      </c>
      <c r="F645" s="31"/>
      <c r="G645" s="32">
        <f>SUM(G646:G656)</f>
        <v>212496</v>
      </c>
      <c r="H645" s="32"/>
      <c r="I645" s="47"/>
      <c r="J645" s="31"/>
      <c r="K645" s="32">
        <f>SUM(K646:K656)</f>
        <v>1795090.5655199997</v>
      </c>
      <c r="L645" s="32"/>
      <c r="M645" s="32">
        <f>SUM(M646:M656)</f>
        <v>4036930.5655199997</v>
      </c>
      <c r="N645" s="32"/>
      <c r="O645" s="190">
        <f>SUM(O646:O656)</f>
        <v>4036930.5655199997</v>
      </c>
      <c r="P645" s="201"/>
      <c r="Q645" s="201"/>
      <c r="R645" s="201"/>
      <c r="S645" s="201"/>
      <c r="T645" s="201"/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201"/>
      <c r="AP645" s="201"/>
      <c r="AQ645" s="201"/>
      <c r="AR645" s="201"/>
      <c r="AS645" s="201"/>
      <c r="AT645" s="201"/>
      <c r="AU645" s="201"/>
      <c r="AV645" s="201"/>
      <c r="AW645" s="201"/>
      <c r="AX645" s="201"/>
      <c r="AY645" s="201"/>
      <c r="AZ645" s="201"/>
      <c r="BA645" s="201"/>
      <c r="BB645" s="201"/>
      <c r="BC645" s="201"/>
      <c r="BD645" s="201"/>
      <c r="BE645" s="201"/>
      <c r="BF645" s="201"/>
      <c r="BG645" s="201"/>
      <c r="BH645" s="201"/>
      <c r="BI645" s="201"/>
      <c r="BJ645" s="201"/>
      <c r="BK645" s="201"/>
      <c r="BL645" s="201"/>
      <c r="BM645" s="201"/>
      <c r="BN645" s="201"/>
      <c r="BO645" s="201"/>
      <c r="BP645" s="201"/>
      <c r="BQ645" s="201"/>
      <c r="BR645" s="201"/>
      <c r="BS645" s="201"/>
      <c r="BT645" s="201"/>
      <c r="BU645" s="201"/>
      <c r="BV645" s="201"/>
      <c r="BW645" s="201"/>
    </row>
    <row r="646" spans="1:75" ht="25.5" x14ac:dyDescent="0.2">
      <c r="A646" s="6" t="s">
        <v>96</v>
      </c>
      <c r="B646" s="16" t="s">
        <v>154</v>
      </c>
      <c r="C646" s="6"/>
      <c r="D646" s="31"/>
      <c r="E646" s="31"/>
      <c r="F646" s="31"/>
      <c r="G646" s="31"/>
      <c r="H646" s="31"/>
      <c r="I646" s="41"/>
      <c r="J646" s="31"/>
      <c r="K646" s="31"/>
      <c r="L646" s="31"/>
      <c r="M646" s="31"/>
      <c r="N646" s="31"/>
      <c r="O646" s="192"/>
    </row>
    <row r="647" spans="1:75" x14ac:dyDescent="0.2">
      <c r="A647" s="6"/>
      <c r="B647" s="10" t="s">
        <v>280</v>
      </c>
      <c r="C647" s="6">
        <v>24</v>
      </c>
      <c r="D647" s="31">
        <v>42278</v>
      </c>
      <c r="E647" s="31">
        <f>C647*D647</f>
        <v>1014672</v>
      </c>
      <c r="F647" s="31">
        <f t="shared" ref="F647:F648" si="349">ROUND((D647*10.47143%),0)</f>
        <v>4427</v>
      </c>
      <c r="G647" s="31">
        <f>ROUND((C647*F647),0)</f>
        <v>106248</v>
      </c>
      <c r="H647" s="31">
        <v>16551.61</v>
      </c>
      <c r="I647" s="41">
        <v>2.2589999999999999</v>
      </c>
      <c r="J647" s="31">
        <f t="shared" ref="J647:J648" si="350">H647*I647</f>
        <v>37390.086989999996</v>
      </c>
      <c r="K647" s="31">
        <f>C647*J647+366.39</f>
        <v>897728.47775999992</v>
      </c>
      <c r="L647" s="31">
        <f t="shared" ref="L647:M648" si="351">D647+F647+J647</f>
        <v>84095.086989999996</v>
      </c>
      <c r="M647" s="31">
        <f t="shared" si="351"/>
        <v>2018648.4777599999</v>
      </c>
      <c r="N647" s="31"/>
      <c r="O647" s="192">
        <f t="shared" ref="O647:O648" si="352">M647+N647</f>
        <v>2018648.4777599999</v>
      </c>
    </row>
    <row r="648" spans="1:75" x14ac:dyDescent="0.2">
      <c r="A648" s="6"/>
      <c r="B648" s="103" t="s">
        <v>309</v>
      </c>
      <c r="C648" s="6">
        <v>24</v>
      </c>
      <c r="D648" s="31">
        <v>42278</v>
      </c>
      <c r="E648" s="31">
        <f>C648*D648</f>
        <v>1014672</v>
      </c>
      <c r="F648" s="31">
        <f t="shared" si="349"/>
        <v>4427</v>
      </c>
      <c r="G648" s="31">
        <f t="shared" ref="G648" si="353">ROUND((C648*F648),0)</f>
        <v>106248</v>
      </c>
      <c r="H648" s="31">
        <v>16551.61</v>
      </c>
      <c r="I648" s="41">
        <v>2.2589999999999999</v>
      </c>
      <c r="J648" s="31">
        <f t="shared" si="350"/>
        <v>37390.086989999996</v>
      </c>
      <c r="K648" s="31">
        <f t="shared" ref="K648" si="354">C648*J648</f>
        <v>897362.08775999991</v>
      </c>
      <c r="L648" s="31">
        <f t="shared" si="351"/>
        <v>84095.086989999996</v>
      </c>
      <c r="M648" s="31">
        <f t="shared" si="351"/>
        <v>2018282.08776</v>
      </c>
      <c r="N648" s="31"/>
      <c r="O648" s="192">
        <f t="shared" si="352"/>
        <v>2018282.08776</v>
      </c>
    </row>
    <row r="649" spans="1:75" hidden="1" x14ac:dyDescent="0.2">
      <c r="A649" s="6"/>
      <c r="B649" s="17" t="s">
        <v>92</v>
      </c>
      <c r="C649" s="6"/>
      <c r="D649" s="31">
        <v>42278</v>
      </c>
      <c r="E649" s="31"/>
      <c r="F649" s="31"/>
      <c r="G649" s="31"/>
      <c r="H649" s="31">
        <v>16551.61</v>
      </c>
      <c r="I649" s="41">
        <v>2.2890000000000001</v>
      </c>
      <c r="J649" s="31"/>
      <c r="K649" s="31"/>
      <c r="L649" s="31"/>
      <c r="M649" s="31"/>
      <c r="N649" s="31"/>
      <c r="O649" s="192"/>
    </row>
    <row r="650" spans="1:75" ht="38.25" hidden="1" x14ac:dyDescent="0.2">
      <c r="A650" s="6" t="s">
        <v>97</v>
      </c>
      <c r="B650" s="16" t="s">
        <v>173</v>
      </c>
      <c r="C650" s="6"/>
      <c r="D650" s="31">
        <v>42278</v>
      </c>
      <c r="E650" s="31"/>
      <c r="F650" s="31"/>
      <c r="G650" s="31"/>
      <c r="H650" s="31">
        <v>16551.61</v>
      </c>
      <c r="I650" s="41">
        <v>2.2890000000000001</v>
      </c>
      <c r="J650" s="31"/>
      <c r="K650" s="31"/>
      <c r="L650" s="31"/>
      <c r="M650" s="31"/>
      <c r="N650" s="31"/>
      <c r="O650" s="192"/>
    </row>
    <row r="651" spans="1:75" hidden="1" x14ac:dyDescent="0.2">
      <c r="A651" s="6"/>
      <c r="B651" s="10" t="s">
        <v>91</v>
      </c>
      <c r="C651" s="6"/>
      <c r="D651" s="31">
        <v>42278</v>
      </c>
      <c r="E651" s="31"/>
      <c r="F651" s="31"/>
      <c r="G651" s="31"/>
      <c r="H651" s="31">
        <v>16551.61</v>
      </c>
      <c r="I651" s="41">
        <v>2.2890000000000001</v>
      </c>
      <c r="J651" s="31"/>
      <c r="K651" s="31"/>
      <c r="L651" s="31"/>
      <c r="M651" s="31"/>
      <c r="N651" s="31"/>
      <c r="O651" s="192"/>
    </row>
    <row r="652" spans="1:75" hidden="1" x14ac:dyDescent="0.2">
      <c r="A652" s="6"/>
      <c r="B652" s="17" t="s">
        <v>92</v>
      </c>
      <c r="C652" s="6"/>
      <c r="D652" s="31">
        <v>42278</v>
      </c>
      <c r="E652" s="31"/>
      <c r="F652" s="31"/>
      <c r="G652" s="31"/>
      <c r="H652" s="31">
        <v>16551.61</v>
      </c>
      <c r="I652" s="41">
        <v>2.2890000000000001</v>
      </c>
      <c r="J652" s="31"/>
      <c r="K652" s="31"/>
      <c r="L652" s="31"/>
      <c r="M652" s="31"/>
      <c r="N652" s="31"/>
      <c r="O652" s="192"/>
    </row>
    <row r="653" spans="1:75" hidden="1" x14ac:dyDescent="0.2">
      <c r="A653" s="6"/>
      <c r="B653" s="10" t="s">
        <v>156</v>
      </c>
      <c r="C653" s="6"/>
      <c r="D653" s="31">
        <v>42278</v>
      </c>
      <c r="E653" s="31"/>
      <c r="F653" s="31"/>
      <c r="G653" s="31"/>
      <c r="H653" s="31">
        <v>16551.61</v>
      </c>
      <c r="I653" s="41">
        <v>2.2890000000000001</v>
      </c>
      <c r="J653" s="31"/>
      <c r="K653" s="31"/>
      <c r="L653" s="31"/>
      <c r="M653" s="31"/>
      <c r="N653" s="31"/>
      <c r="O653" s="192"/>
    </row>
    <row r="654" spans="1:75" hidden="1" x14ac:dyDescent="0.2">
      <c r="A654" s="6"/>
      <c r="B654" s="17" t="s">
        <v>157</v>
      </c>
      <c r="C654" s="6"/>
      <c r="D654" s="31">
        <v>42278</v>
      </c>
      <c r="E654" s="31"/>
      <c r="F654" s="31"/>
      <c r="G654" s="31"/>
      <c r="H654" s="31">
        <v>16551.61</v>
      </c>
      <c r="I654" s="41">
        <v>2.2890000000000001</v>
      </c>
      <c r="J654" s="31"/>
      <c r="K654" s="31"/>
      <c r="L654" s="31"/>
      <c r="M654" s="31"/>
      <c r="N654" s="31"/>
      <c r="O654" s="192"/>
    </row>
    <row r="655" spans="1:75" ht="38.25" x14ac:dyDescent="0.2">
      <c r="A655" s="6" t="s">
        <v>98</v>
      </c>
      <c r="B655" s="16" t="s">
        <v>158</v>
      </c>
      <c r="C655" s="6"/>
      <c r="D655" s="31"/>
      <c r="E655" s="31"/>
      <c r="F655" s="31"/>
      <c r="G655" s="31"/>
      <c r="H655" s="31"/>
      <c r="I655" s="41"/>
      <c r="J655" s="31"/>
      <c r="K655" s="31"/>
      <c r="L655" s="31"/>
      <c r="M655" s="31"/>
      <c r="N655" s="31"/>
      <c r="O655" s="192"/>
    </row>
    <row r="656" spans="1:75" ht="25.5" x14ac:dyDescent="0.2">
      <c r="A656" s="6"/>
      <c r="B656" s="7" t="s">
        <v>281</v>
      </c>
      <c r="C656" s="6"/>
      <c r="D656" s="31">
        <v>155377</v>
      </c>
      <c r="E656" s="31">
        <f>C656*D656</f>
        <v>0</v>
      </c>
      <c r="F656" s="31">
        <f t="shared" ref="F656" si="355">ROUND((D656*11%),0)</f>
        <v>17091</v>
      </c>
      <c r="G656" s="31">
        <f t="shared" ref="G656" si="356">ROUND((C656*F656),0)</f>
        <v>0</v>
      </c>
      <c r="H656" s="31">
        <v>16551.61</v>
      </c>
      <c r="I656" s="41">
        <v>2.2589999999999999</v>
      </c>
      <c r="J656" s="31">
        <f t="shared" ref="J656" si="357">H656*I656</f>
        <v>37390.086989999996</v>
      </c>
      <c r="K656" s="31">
        <f t="shared" ref="K656" si="358">C656*J656</f>
        <v>0</v>
      </c>
      <c r="L656" s="31">
        <f t="shared" ref="L656:M656" si="359">D656+F656+J656</f>
        <v>209858.08698999998</v>
      </c>
      <c r="M656" s="31">
        <f t="shared" si="359"/>
        <v>0</v>
      </c>
      <c r="N656" s="31"/>
      <c r="O656" s="192">
        <f t="shared" ref="O656" si="360">M656+N656</f>
        <v>0</v>
      </c>
    </row>
    <row r="657" spans="1:75" s="11" customFormat="1" x14ac:dyDescent="0.2">
      <c r="A657" s="4">
        <v>5</v>
      </c>
      <c r="B657" s="5" t="s">
        <v>174</v>
      </c>
      <c r="C657" s="4">
        <f>SUM(C658:C662)</f>
        <v>67</v>
      </c>
      <c r="D657" s="32"/>
      <c r="E657" s="32">
        <f>SUM(E658:E662)</f>
        <v>3580078</v>
      </c>
      <c r="F657" s="31"/>
      <c r="G657" s="32">
        <f>SUM(G658:G662)</f>
        <v>374865</v>
      </c>
      <c r="H657" s="32"/>
      <c r="I657" s="47"/>
      <c r="J657" s="31"/>
      <c r="K657" s="32">
        <f>SUM(K658:K662)</f>
        <v>2505135.8283299999</v>
      </c>
      <c r="L657" s="32"/>
      <c r="M657" s="32">
        <f>SUM(M658:M662)</f>
        <v>6460078.8283299999</v>
      </c>
      <c r="N657" s="32"/>
      <c r="O657" s="190">
        <f>SUM(O658:O662)</f>
        <v>6460078.8283299999</v>
      </c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1"/>
      <c r="AT657" s="201"/>
      <c r="AU657" s="201"/>
      <c r="AV657" s="201"/>
      <c r="AW657" s="201"/>
      <c r="AX657" s="201"/>
      <c r="AY657" s="201"/>
      <c r="AZ657" s="201"/>
      <c r="BA657" s="201"/>
      <c r="BB657" s="201"/>
      <c r="BC657" s="201"/>
      <c r="BD657" s="201"/>
      <c r="BE657" s="201"/>
      <c r="BF657" s="201"/>
      <c r="BG657" s="201"/>
      <c r="BH657" s="201"/>
      <c r="BI657" s="201"/>
      <c r="BJ657" s="201"/>
      <c r="BK657" s="201"/>
      <c r="BL657" s="201"/>
      <c r="BM657" s="201"/>
      <c r="BN657" s="201"/>
      <c r="BO657" s="201"/>
      <c r="BP657" s="201"/>
      <c r="BQ657" s="201"/>
      <c r="BR657" s="201"/>
      <c r="BS657" s="201"/>
      <c r="BT657" s="201"/>
      <c r="BU657" s="201"/>
      <c r="BV657" s="201"/>
      <c r="BW657" s="201"/>
    </row>
    <row r="658" spans="1:75" ht="25.5" x14ac:dyDescent="0.2">
      <c r="A658" s="6" t="s">
        <v>99</v>
      </c>
      <c r="B658" s="14" t="s">
        <v>160</v>
      </c>
      <c r="C658" s="6"/>
      <c r="D658" s="31"/>
      <c r="E658" s="31"/>
      <c r="F658" s="31"/>
      <c r="G658" s="31"/>
      <c r="H658" s="31"/>
      <c r="I658" s="41"/>
      <c r="J658" s="31"/>
      <c r="K658" s="31"/>
      <c r="L658" s="31"/>
      <c r="M658" s="31"/>
      <c r="N658" s="31"/>
      <c r="O658" s="192"/>
    </row>
    <row r="659" spans="1:75" x14ac:dyDescent="0.2">
      <c r="A659" s="6"/>
      <c r="B659" s="10" t="s">
        <v>280</v>
      </c>
      <c r="C659" s="6">
        <v>44</v>
      </c>
      <c r="D659" s="31">
        <v>53434</v>
      </c>
      <c r="E659" s="31">
        <f>C659*D659</f>
        <v>2351096</v>
      </c>
      <c r="F659" s="31">
        <f t="shared" ref="F659:F660" si="361">ROUND((D659*10.47143%),0)</f>
        <v>5595</v>
      </c>
      <c r="G659" s="31">
        <f t="shared" ref="G659:G660" si="362">ROUND((C659*F659),0)</f>
        <v>246180</v>
      </c>
      <c r="H659" s="31">
        <v>16551.61</v>
      </c>
      <c r="I659" s="41">
        <v>2.2589999999999999</v>
      </c>
      <c r="J659" s="31">
        <f t="shared" ref="J659" si="363">H659*I659</f>
        <v>37390.086989999996</v>
      </c>
      <c r="K659" s="31">
        <f t="shared" ref="K659" si="364">C659*J659</f>
        <v>1645163.8275599999</v>
      </c>
      <c r="L659" s="31">
        <f t="shared" ref="L659:M660" si="365">D659+F659+J659</f>
        <v>96419.086989999996</v>
      </c>
      <c r="M659" s="31">
        <f t="shared" si="365"/>
        <v>4242439.8275600001</v>
      </c>
      <c r="N659" s="31"/>
      <c r="O659" s="192">
        <f t="shared" ref="O659:O660" si="366">M659+N659</f>
        <v>4242439.8275600001</v>
      </c>
    </row>
    <row r="660" spans="1:75" x14ac:dyDescent="0.2">
      <c r="A660" s="6"/>
      <c r="B660" s="119" t="s">
        <v>309</v>
      </c>
      <c r="C660" s="6">
        <v>23</v>
      </c>
      <c r="D660" s="31">
        <v>53434</v>
      </c>
      <c r="E660" s="31">
        <f>C660*D660</f>
        <v>1228982</v>
      </c>
      <c r="F660" s="31">
        <f t="shared" si="361"/>
        <v>5595</v>
      </c>
      <c r="G660" s="31">
        <f t="shared" si="362"/>
        <v>128685</v>
      </c>
      <c r="H660" s="31">
        <v>16551.61</v>
      </c>
      <c r="I660" s="41">
        <v>2.2589999999999999</v>
      </c>
      <c r="J660" s="31">
        <f t="shared" ref="J660" si="367">H660*I660</f>
        <v>37390.086989999996</v>
      </c>
      <c r="K660" s="31">
        <f t="shared" ref="K660" si="368">C660*J660</f>
        <v>859972.00076999993</v>
      </c>
      <c r="L660" s="31">
        <f t="shared" ref="L660" si="369">D660+F660+J660</f>
        <v>96419.086989999996</v>
      </c>
      <c r="M660" s="31">
        <f t="shared" si="365"/>
        <v>2217639.0007699998</v>
      </c>
      <c r="N660" s="31"/>
      <c r="O660" s="192">
        <f t="shared" si="366"/>
        <v>2217639.0007699998</v>
      </c>
    </row>
    <row r="661" spans="1:75" hidden="1" x14ac:dyDescent="0.2">
      <c r="A661" s="6"/>
      <c r="B661" s="103" t="s">
        <v>156</v>
      </c>
      <c r="C661" s="6"/>
      <c r="D661" s="31"/>
      <c r="E661" s="31"/>
      <c r="F661" s="31"/>
      <c r="G661" s="31"/>
      <c r="H661" s="31"/>
      <c r="I661" s="41"/>
      <c r="J661" s="31"/>
      <c r="K661" s="31"/>
      <c r="L661" s="31"/>
      <c r="M661" s="31"/>
      <c r="N661" s="31"/>
      <c r="O661" s="192"/>
    </row>
    <row r="662" spans="1:75" ht="25.5" x14ac:dyDescent="0.2">
      <c r="A662" s="6"/>
      <c r="B662" s="7" t="s">
        <v>281</v>
      </c>
      <c r="C662" s="6"/>
      <c r="D662" s="31"/>
      <c r="E662" s="31"/>
      <c r="F662" s="31"/>
      <c r="G662" s="31"/>
      <c r="H662" s="31"/>
      <c r="I662" s="41"/>
      <c r="J662" s="31"/>
      <c r="K662" s="31"/>
      <c r="L662" s="31"/>
      <c r="M662" s="31"/>
      <c r="N662" s="31"/>
      <c r="O662" s="192"/>
    </row>
    <row r="663" spans="1:75" ht="38.25" hidden="1" x14ac:dyDescent="0.2">
      <c r="A663" s="6" t="s">
        <v>100</v>
      </c>
      <c r="B663" s="16" t="s">
        <v>175</v>
      </c>
      <c r="C663" s="6"/>
      <c r="D663" s="31"/>
      <c r="E663" s="31"/>
      <c r="F663" s="31"/>
      <c r="G663" s="31"/>
      <c r="H663" s="31"/>
      <c r="I663" s="41"/>
      <c r="J663" s="31"/>
      <c r="K663" s="31"/>
      <c r="L663" s="31"/>
      <c r="M663" s="31"/>
      <c r="N663" s="31"/>
      <c r="O663" s="192"/>
    </row>
    <row r="664" spans="1:75" hidden="1" x14ac:dyDescent="0.2">
      <c r="A664" s="6"/>
      <c r="B664" s="10" t="s">
        <v>91</v>
      </c>
      <c r="C664" s="6"/>
      <c r="D664" s="31"/>
      <c r="E664" s="31"/>
      <c r="F664" s="31"/>
      <c r="G664" s="31"/>
      <c r="H664" s="31"/>
      <c r="I664" s="41"/>
      <c r="J664" s="31"/>
      <c r="K664" s="31"/>
      <c r="L664" s="31"/>
      <c r="M664" s="31"/>
      <c r="N664" s="31"/>
      <c r="O664" s="192"/>
    </row>
    <row r="665" spans="1:75" hidden="1" x14ac:dyDescent="0.2">
      <c r="A665" s="6"/>
      <c r="B665" s="17" t="s">
        <v>92</v>
      </c>
      <c r="C665" s="6"/>
      <c r="D665" s="31"/>
      <c r="E665" s="31"/>
      <c r="F665" s="31"/>
      <c r="G665" s="31"/>
      <c r="H665" s="31"/>
      <c r="I665" s="41"/>
      <c r="J665" s="31"/>
      <c r="K665" s="31"/>
      <c r="L665" s="31"/>
      <c r="M665" s="31"/>
      <c r="N665" s="31"/>
      <c r="O665" s="192"/>
    </row>
    <row r="666" spans="1:75" hidden="1" x14ac:dyDescent="0.2">
      <c r="A666" s="6"/>
      <c r="B666" s="10" t="s">
        <v>156</v>
      </c>
      <c r="C666" s="6"/>
      <c r="D666" s="31"/>
      <c r="E666" s="31"/>
      <c r="F666" s="31"/>
      <c r="G666" s="31"/>
      <c r="H666" s="31"/>
      <c r="I666" s="41"/>
      <c r="J666" s="31"/>
      <c r="K666" s="31"/>
      <c r="L666" s="31"/>
      <c r="M666" s="31"/>
      <c r="N666" s="31"/>
      <c r="O666" s="192"/>
    </row>
    <row r="667" spans="1:75" hidden="1" x14ac:dyDescent="0.2">
      <c r="A667" s="6"/>
      <c r="B667" s="17" t="s">
        <v>157</v>
      </c>
      <c r="C667" s="6"/>
      <c r="D667" s="31"/>
      <c r="E667" s="31"/>
      <c r="F667" s="31"/>
      <c r="G667" s="31"/>
      <c r="H667" s="31"/>
      <c r="I667" s="41"/>
      <c r="J667" s="31"/>
      <c r="K667" s="31"/>
      <c r="L667" s="31"/>
      <c r="M667" s="31"/>
      <c r="N667" s="31"/>
      <c r="O667" s="192"/>
    </row>
    <row r="668" spans="1:75" ht="38.25" hidden="1" x14ac:dyDescent="0.2">
      <c r="A668" s="6" t="s">
        <v>101</v>
      </c>
      <c r="B668" s="103" t="s">
        <v>162</v>
      </c>
      <c r="C668" s="6"/>
      <c r="D668" s="31"/>
      <c r="E668" s="31"/>
      <c r="F668" s="31"/>
      <c r="G668" s="31"/>
      <c r="H668" s="31"/>
      <c r="I668" s="41"/>
      <c r="J668" s="31"/>
      <c r="K668" s="31"/>
      <c r="L668" s="31"/>
      <c r="M668" s="31"/>
      <c r="N668" s="31"/>
      <c r="O668" s="192"/>
    </row>
    <row r="669" spans="1:75" s="11" customFormat="1" x14ac:dyDescent="0.2">
      <c r="A669" s="4">
        <v>6</v>
      </c>
      <c r="B669" s="5" t="s">
        <v>170</v>
      </c>
      <c r="C669" s="4">
        <f>SUM(C670:C673)</f>
        <v>7</v>
      </c>
      <c r="D669" s="32"/>
      <c r="E669" s="32">
        <f>SUM(E670:E673)</f>
        <v>403319</v>
      </c>
      <c r="F669" s="31"/>
      <c r="G669" s="32">
        <f>SUM(G670:G673)</f>
        <v>42231</v>
      </c>
      <c r="H669" s="32"/>
      <c r="I669" s="47"/>
      <c r="J669" s="31"/>
      <c r="K669" s="32">
        <f>SUM(K670:K673)</f>
        <v>261730.60892999999</v>
      </c>
      <c r="L669" s="32"/>
      <c r="M669" s="32">
        <f>SUM(M670:M673)</f>
        <v>707280.60892999999</v>
      </c>
      <c r="N669" s="32"/>
      <c r="O669" s="190">
        <f>SUM(O670:O673)</f>
        <v>707280.60892999999</v>
      </c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1"/>
      <c r="AT669" s="201"/>
      <c r="AU669" s="201"/>
      <c r="AV669" s="201"/>
      <c r="AW669" s="201"/>
      <c r="AX669" s="201"/>
      <c r="AY669" s="201"/>
      <c r="AZ669" s="201"/>
      <c r="BA669" s="201"/>
      <c r="BB669" s="201"/>
      <c r="BC669" s="201"/>
      <c r="BD669" s="201"/>
      <c r="BE669" s="201"/>
      <c r="BF669" s="201"/>
      <c r="BG669" s="201"/>
      <c r="BH669" s="201"/>
      <c r="BI669" s="201"/>
      <c r="BJ669" s="201"/>
      <c r="BK669" s="201"/>
      <c r="BL669" s="201"/>
      <c r="BM669" s="201"/>
      <c r="BN669" s="201"/>
      <c r="BO669" s="201"/>
      <c r="BP669" s="201"/>
      <c r="BQ669" s="201"/>
      <c r="BR669" s="201"/>
      <c r="BS669" s="201"/>
      <c r="BT669" s="201"/>
      <c r="BU669" s="201"/>
      <c r="BV669" s="201"/>
      <c r="BW669" s="201"/>
    </row>
    <row r="670" spans="1:75" ht="25.5" x14ac:dyDescent="0.2">
      <c r="A670" s="6" t="s">
        <v>102</v>
      </c>
      <c r="B670" s="14" t="s">
        <v>166</v>
      </c>
      <c r="C670" s="6"/>
      <c r="D670" s="31"/>
      <c r="E670" s="31"/>
      <c r="F670" s="31"/>
      <c r="G670" s="31"/>
      <c r="H670" s="31"/>
      <c r="I670" s="41"/>
      <c r="J670" s="31"/>
      <c r="K670" s="31"/>
      <c r="L670" s="31"/>
      <c r="M670" s="31"/>
      <c r="N670" s="31"/>
      <c r="O670" s="192"/>
    </row>
    <row r="671" spans="1:75" hidden="1" x14ac:dyDescent="0.2">
      <c r="A671" s="6"/>
      <c r="B671" s="103" t="s">
        <v>91</v>
      </c>
      <c r="C671" s="6"/>
      <c r="D671" s="31"/>
      <c r="E671" s="31"/>
      <c r="F671" s="31"/>
      <c r="G671" s="31"/>
      <c r="H671" s="31"/>
      <c r="I671" s="41"/>
      <c r="J671" s="31"/>
      <c r="K671" s="31"/>
      <c r="L671" s="31"/>
      <c r="M671" s="31"/>
      <c r="N671" s="31"/>
      <c r="O671" s="192"/>
    </row>
    <row r="672" spans="1:75" hidden="1" x14ac:dyDescent="0.2">
      <c r="A672" s="6"/>
      <c r="B672" s="7" t="s">
        <v>92</v>
      </c>
      <c r="C672" s="6"/>
      <c r="D672" s="31"/>
      <c r="E672" s="31"/>
      <c r="F672" s="31"/>
      <c r="G672" s="31"/>
      <c r="H672" s="31"/>
      <c r="I672" s="41"/>
      <c r="J672" s="31"/>
      <c r="K672" s="31"/>
      <c r="L672" s="31"/>
      <c r="M672" s="31"/>
      <c r="N672" s="31"/>
      <c r="O672" s="192"/>
    </row>
    <row r="673" spans="1:75" x14ac:dyDescent="0.2">
      <c r="A673" s="6"/>
      <c r="B673" s="10" t="s">
        <v>280</v>
      </c>
      <c r="C673" s="61">
        <v>7</v>
      </c>
      <c r="D673" s="42">
        <v>57617</v>
      </c>
      <c r="E673" s="42">
        <f>C673*D673</f>
        <v>403319</v>
      </c>
      <c r="F673" s="42">
        <f t="shared" ref="F673" si="370">ROUND((D673*10.47143%),0)</f>
        <v>6033</v>
      </c>
      <c r="G673" s="42">
        <f t="shared" ref="G673" si="371">ROUND((C673*F673),0)</f>
        <v>42231</v>
      </c>
      <c r="H673" s="42">
        <v>16551.61</v>
      </c>
      <c r="I673" s="63">
        <v>2.2589999999999999</v>
      </c>
      <c r="J673" s="42">
        <f t="shared" ref="J673" si="372">H673*I673</f>
        <v>37390.086989999996</v>
      </c>
      <c r="K673" s="42">
        <f t="shared" ref="K673" si="373">C673*J673</f>
        <v>261730.60892999999</v>
      </c>
      <c r="L673" s="42">
        <f t="shared" ref="L673:M673" si="374">D673+F673+J673</f>
        <v>101040.08699</v>
      </c>
      <c r="M673" s="42">
        <f t="shared" si="374"/>
        <v>707280.60892999999</v>
      </c>
      <c r="N673" s="42"/>
      <c r="O673" s="169">
        <f t="shared" ref="O673" si="375">M673+N673</f>
        <v>707280.60892999999</v>
      </c>
    </row>
    <row r="674" spans="1:75" hidden="1" x14ac:dyDescent="0.2">
      <c r="A674" s="6"/>
      <c r="B674" s="7" t="s">
        <v>157</v>
      </c>
      <c r="C674" s="88"/>
      <c r="D674" s="48"/>
      <c r="E674" s="48"/>
      <c r="F674" s="48"/>
      <c r="G674" s="48"/>
      <c r="H674" s="48"/>
      <c r="I674" s="143"/>
      <c r="J674" s="48"/>
      <c r="K674" s="48"/>
      <c r="L674" s="48"/>
      <c r="M674" s="48"/>
      <c r="N674" s="48"/>
      <c r="O674" s="146"/>
    </row>
    <row r="675" spans="1:75" ht="38.25" hidden="1" x14ac:dyDescent="0.2">
      <c r="A675" s="6" t="s">
        <v>103</v>
      </c>
      <c r="B675" s="16" t="s">
        <v>175</v>
      </c>
      <c r="C675" s="88"/>
      <c r="D675" s="48"/>
      <c r="E675" s="48"/>
      <c r="F675" s="48"/>
      <c r="G675" s="48"/>
      <c r="H675" s="48"/>
      <c r="I675" s="143"/>
      <c r="J675" s="48"/>
      <c r="K675" s="48"/>
      <c r="L675" s="48"/>
      <c r="M675" s="48"/>
      <c r="N675" s="48"/>
      <c r="O675" s="146"/>
    </row>
    <row r="676" spans="1:75" hidden="1" x14ac:dyDescent="0.2">
      <c r="A676" s="6"/>
      <c r="B676" s="10" t="s">
        <v>91</v>
      </c>
      <c r="C676" s="88"/>
      <c r="D676" s="48"/>
      <c r="E676" s="48"/>
      <c r="F676" s="48"/>
      <c r="G676" s="48"/>
      <c r="H676" s="48"/>
      <c r="I676" s="143"/>
      <c r="J676" s="48"/>
      <c r="K676" s="48"/>
      <c r="L676" s="48"/>
      <c r="M676" s="48"/>
      <c r="N676" s="48"/>
      <c r="O676" s="146"/>
    </row>
    <row r="677" spans="1:75" hidden="1" x14ac:dyDescent="0.2">
      <c r="A677" s="6"/>
      <c r="B677" s="17" t="s">
        <v>92</v>
      </c>
      <c r="C677" s="88"/>
      <c r="D677" s="48"/>
      <c r="E677" s="48"/>
      <c r="F677" s="48"/>
      <c r="G677" s="48"/>
      <c r="H677" s="48"/>
      <c r="I677" s="143"/>
      <c r="J677" s="48"/>
      <c r="K677" s="48"/>
      <c r="L677" s="48"/>
      <c r="M677" s="48"/>
      <c r="N677" s="48"/>
      <c r="O677" s="146"/>
    </row>
    <row r="678" spans="1:75" hidden="1" x14ac:dyDescent="0.2">
      <c r="A678" s="6"/>
      <c r="B678" s="10" t="s">
        <v>156</v>
      </c>
      <c r="C678" s="88"/>
      <c r="D678" s="48"/>
      <c r="E678" s="48"/>
      <c r="F678" s="48"/>
      <c r="G678" s="48"/>
      <c r="H678" s="48"/>
      <c r="I678" s="143"/>
      <c r="J678" s="48"/>
      <c r="K678" s="48"/>
      <c r="L678" s="48"/>
      <c r="M678" s="48"/>
      <c r="N678" s="48"/>
      <c r="O678" s="146"/>
    </row>
    <row r="679" spans="1:75" hidden="1" x14ac:dyDescent="0.2">
      <c r="A679" s="6"/>
      <c r="B679" s="17" t="s">
        <v>157</v>
      </c>
      <c r="C679" s="88"/>
      <c r="D679" s="48"/>
      <c r="E679" s="48"/>
      <c r="F679" s="48"/>
      <c r="G679" s="48"/>
      <c r="H679" s="48"/>
      <c r="I679" s="143"/>
      <c r="J679" s="48"/>
      <c r="K679" s="48"/>
      <c r="L679" s="48"/>
      <c r="M679" s="48"/>
      <c r="N679" s="48"/>
      <c r="O679" s="146"/>
    </row>
    <row r="680" spans="1:75" ht="38.25" hidden="1" x14ac:dyDescent="0.2">
      <c r="A680" s="6" t="s">
        <v>104</v>
      </c>
      <c r="B680" s="103" t="s">
        <v>168</v>
      </c>
      <c r="C680" s="88"/>
      <c r="D680" s="48"/>
      <c r="E680" s="48"/>
      <c r="F680" s="48"/>
      <c r="G680" s="48"/>
      <c r="H680" s="48"/>
      <c r="I680" s="143"/>
      <c r="J680" s="48"/>
      <c r="K680" s="48"/>
      <c r="L680" s="48"/>
      <c r="M680" s="48"/>
      <c r="N680" s="48"/>
      <c r="O680" s="146"/>
    </row>
    <row r="681" spans="1:75" s="19" customFormat="1" x14ac:dyDescent="0.2">
      <c r="B681" s="18" t="s">
        <v>205</v>
      </c>
      <c r="C681" s="88">
        <f>C645+C657+C669</f>
        <v>122</v>
      </c>
      <c r="D681" s="48"/>
      <c r="E681" s="48">
        <f>E645+E657+E669</f>
        <v>6012741</v>
      </c>
      <c r="F681" s="48"/>
      <c r="G681" s="48">
        <f>G645+G657+G669</f>
        <v>629592</v>
      </c>
      <c r="H681" s="48"/>
      <c r="I681" s="143"/>
      <c r="J681" s="48"/>
      <c r="K681" s="48">
        <f>K645+K657+K669</f>
        <v>4561957.0027799997</v>
      </c>
      <c r="L681" s="48"/>
      <c r="M681" s="48">
        <f>M645+M657+M669</f>
        <v>11204290.002779998</v>
      </c>
      <c r="N681" s="48">
        <v>117000</v>
      </c>
      <c r="O681" s="146">
        <f>M681+N681</f>
        <v>11321290.002779998</v>
      </c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  <c r="AV681" s="138"/>
      <c r="AW681" s="138"/>
      <c r="AX681" s="138"/>
      <c r="AY681" s="138"/>
      <c r="AZ681" s="138"/>
      <c r="BA681" s="138"/>
      <c r="BB681" s="138"/>
      <c r="BC681" s="138"/>
      <c r="BD681" s="138"/>
      <c r="BE681" s="138"/>
      <c r="BF681" s="138"/>
      <c r="BG681" s="138"/>
      <c r="BH681" s="138"/>
      <c r="BI681" s="138"/>
      <c r="BJ681" s="138"/>
      <c r="BK681" s="138"/>
      <c r="BL681" s="138"/>
      <c r="BM681" s="138"/>
      <c r="BN681" s="138"/>
      <c r="BO681" s="138"/>
      <c r="BP681" s="138"/>
      <c r="BQ681" s="138"/>
      <c r="BR681" s="138"/>
      <c r="BS681" s="138"/>
      <c r="BT681" s="138"/>
      <c r="BU681" s="138"/>
      <c r="BV681" s="138"/>
      <c r="BW681" s="138"/>
    </row>
    <row r="682" spans="1:75" s="11" customFormat="1" x14ac:dyDescent="0.2">
      <c r="A682" s="4" t="s">
        <v>172</v>
      </c>
      <c r="B682" s="18" t="s">
        <v>206</v>
      </c>
      <c r="C682" s="4">
        <f>SUM(C683:C692)</f>
        <v>59</v>
      </c>
      <c r="D682" s="32"/>
      <c r="E682" s="32">
        <f>SUM(E683:E692)</f>
        <v>2520538</v>
      </c>
      <c r="F682" s="32"/>
      <c r="G682" s="32">
        <f>SUM(G683:G692)</f>
        <v>263929</v>
      </c>
      <c r="H682" s="32"/>
      <c r="I682" s="47"/>
      <c r="J682" s="32"/>
      <c r="K682" s="32">
        <f>SUM(K683:K692)</f>
        <v>2041074.2390999999</v>
      </c>
      <c r="L682" s="32"/>
      <c r="M682" s="32">
        <f>SUM(M683:M692)</f>
        <v>4825541.2390999999</v>
      </c>
      <c r="N682" s="32"/>
      <c r="O682" s="190">
        <f>SUM(O683:O692)</f>
        <v>4825541.2390999999</v>
      </c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201"/>
      <c r="AS682" s="201"/>
      <c r="AT682" s="201"/>
      <c r="AU682" s="201"/>
      <c r="AV682" s="201"/>
      <c r="AW682" s="201"/>
      <c r="AX682" s="201"/>
      <c r="AY682" s="201"/>
      <c r="AZ682" s="201"/>
      <c r="BA682" s="201"/>
      <c r="BB682" s="201"/>
      <c r="BC682" s="201"/>
      <c r="BD682" s="201"/>
      <c r="BE682" s="201"/>
      <c r="BF682" s="201"/>
      <c r="BG682" s="201"/>
      <c r="BH682" s="201"/>
      <c r="BI682" s="201"/>
      <c r="BJ682" s="201"/>
      <c r="BK682" s="201"/>
      <c r="BL682" s="201"/>
      <c r="BM682" s="201"/>
      <c r="BN682" s="201"/>
      <c r="BO682" s="201"/>
      <c r="BP682" s="201"/>
      <c r="BQ682" s="201"/>
      <c r="BR682" s="201"/>
      <c r="BS682" s="201"/>
      <c r="BT682" s="201"/>
      <c r="BU682" s="201"/>
      <c r="BV682" s="201"/>
      <c r="BW682" s="201"/>
    </row>
    <row r="683" spans="1:75" ht="25.5" x14ac:dyDescent="0.2">
      <c r="A683" s="6" t="s">
        <v>96</v>
      </c>
      <c r="B683" s="16" t="s">
        <v>154</v>
      </c>
      <c r="C683" s="6"/>
      <c r="D683" s="31"/>
      <c r="E683" s="31"/>
      <c r="F683" s="31"/>
      <c r="G683" s="31"/>
      <c r="H683" s="31"/>
      <c r="I683" s="41"/>
      <c r="J683" s="31"/>
      <c r="K683" s="31"/>
      <c r="L683" s="31"/>
      <c r="M683" s="31"/>
      <c r="N683" s="31"/>
      <c r="O683" s="192"/>
    </row>
    <row r="684" spans="1:75" x14ac:dyDescent="0.2">
      <c r="A684" s="6"/>
      <c r="B684" s="10" t="s">
        <v>280</v>
      </c>
      <c r="C684" s="6"/>
      <c r="D684" s="31">
        <v>42278</v>
      </c>
      <c r="E684" s="31">
        <f>C684*D684</f>
        <v>0</v>
      </c>
      <c r="F684" s="31">
        <f t="shared" ref="F684:F685" si="376">ROUND((D684*10.47143%),0)</f>
        <v>4427</v>
      </c>
      <c r="G684" s="31">
        <f>ROUND((C684*F684),0)</f>
        <v>0</v>
      </c>
      <c r="H684" s="31">
        <v>16551.61</v>
      </c>
      <c r="I684" s="41">
        <v>2.09</v>
      </c>
      <c r="J684" s="31">
        <f t="shared" ref="J684:J685" si="377">H684*I684</f>
        <v>34592.8649</v>
      </c>
      <c r="K684" s="31">
        <f>C684*J684</f>
        <v>0</v>
      </c>
      <c r="L684" s="31">
        <f t="shared" ref="L684:M685" si="378">D684+F684+J684</f>
        <v>81297.8649</v>
      </c>
      <c r="M684" s="31">
        <f t="shared" si="378"/>
        <v>0</v>
      </c>
      <c r="N684" s="31"/>
      <c r="O684" s="192">
        <f t="shared" ref="O684:O685" si="379">M684+N684</f>
        <v>0</v>
      </c>
    </row>
    <row r="685" spans="1:75" x14ac:dyDescent="0.2">
      <c r="A685" s="6"/>
      <c r="B685" s="103" t="s">
        <v>309</v>
      </c>
      <c r="C685" s="6">
        <v>55</v>
      </c>
      <c r="D685" s="31">
        <v>42278</v>
      </c>
      <c r="E685" s="31">
        <f>C685*D685</f>
        <v>2325290</v>
      </c>
      <c r="F685" s="31">
        <f t="shared" si="376"/>
        <v>4427</v>
      </c>
      <c r="G685" s="31">
        <f t="shared" ref="G685" si="380">ROUND((C685*F685),0)</f>
        <v>243485</v>
      </c>
      <c r="H685" s="31">
        <v>16551.61</v>
      </c>
      <c r="I685" s="41">
        <v>2.09</v>
      </c>
      <c r="J685" s="31">
        <f t="shared" si="377"/>
        <v>34592.8649</v>
      </c>
      <c r="K685" s="31">
        <f>C685*J685+95.21</f>
        <v>1902702.7794999999</v>
      </c>
      <c r="L685" s="31">
        <f t="shared" si="378"/>
        <v>81297.8649</v>
      </c>
      <c r="M685" s="31">
        <f t="shared" si="378"/>
        <v>4471477.7795000002</v>
      </c>
      <c r="N685" s="31"/>
      <c r="O685" s="192">
        <f t="shared" si="379"/>
        <v>4471477.7795000002</v>
      </c>
    </row>
    <row r="686" spans="1:75" ht="25.5" x14ac:dyDescent="0.2">
      <c r="A686" s="6"/>
      <c r="B686" s="7" t="s">
        <v>303</v>
      </c>
      <c r="C686" s="6"/>
      <c r="D686" s="31"/>
      <c r="E686" s="31"/>
      <c r="F686" s="31"/>
      <c r="G686" s="31"/>
      <c r="H686" s="31"/>
      <c r="I686" s="41"/>
      <c r="J686" s="31"/>
      <c r="K686" s="31"/>
      <c r="L686" s="31"/>
      <c r="M686" s="31"/>
      <c r="N686" s="31"/>
      <c r="O686" s="192"/>
    </row>
    <row r="687" spans="1:75" ht="38.25" x14ac:dyDescent="0.2">
      <c r="A687" s="6" t="s">
        <v>97</v>
      </c>
      <c r="B687" s="16" t="s">
        <v>173</v>
      </c>
      <c r="C687" s="6"/>
      <c r="D687" s="31"/>
      <c r="E687" s="31"/>
      <c r="F687" s="31"/>
      <c r="G687" s="31"/>
      <c r="H687" s="31"/>
      <c r="I687" s="41"/>
      <c r="J687" s="31"/>
      <c r="K687" s="31"/>
      <c r="L687" s="31"/>
      <c r="M687" s="31"/>
      <c r="N687" s="31"/>
      <c r="O687" s="192"/>
    </row>
    <row r="688" spans="1:75" x14ac:dyDescent="0.2">
      <c r="A688" s="6"/>
      <c r="B688" s="10" t="s">
        <v>280</v>
      </c>
      <c r="C688" s="6">
        <v>4</v>
      </c>
      <c r="D688" s="31">
        <v>48812</v>
      </c>
      <c r="E688" s="31">
        <f>C688*D688</f>
        <v>195248</v>
      </c>
      <c r="F688" s="31">
        <f t="shared" ref="F688" si="381">ROUND((D688*10.47143%),0)</f>
        <v>5111</v>
      </c>
      <c r="G688" s="31">
        <f t="shared" ref="G688" si="382">ROUND((C688*F688),0)</f>
        <v>20444</v>
      </c>
      <c r="H688" s="31">
        <v>16551.61</v>
      </c>
      <c r="I688" s="41">
        <v>2.09</v>
      </c>
      <c r="J688" s="31">
        <f t="shared" ref="J688" si="383">H688*I688</f>
        <v>34592.8649</v>
      </c>
      <c r="K688" s="31">
        <f t="shared" ref="K688" si="384">C688*J688</f>
        <v>138371.4596</v>
      </c>
      <c r="L688" s="31">
        <f t="shared" ref="L688:M688" si="385">D688+F688+J688</f>
        <v>88515.8649</v>
      </c>
      <c r="M688" s="31">
        <f t="shared" si="385"/>
        <v>354063.4596</v>
      </c>
      <c r="N688" s="31"/>
      <c r="O688" s="192">
        <f t="shared" ref="O688" si="386">M688+N688</f>
        <v>354063.4596</v>
      </c>
    </row>
    <row r="689" spans="1:75" hidden="1" x14ac:dyDescent="0.2">
      <c r="A689" s="6"/>
      <c r="B689" s="17" t="s">
        <v>92</v>
      </c>
      <c r="C689" s="6"/>
      <c r="D689" s="31"/>
      <c r="E689" s="31"/>
      <c r="F689" s="31"/>
      <c r="G689" s="31"/>
      <c r="H689" s="31">
        <v>16551.61</v>
      </c>
      <c r="I689" s="41">
        <v>2.09</v>
      </c>
      <c r="J689" s="31"/>
      <c r="K689" s="31"/>
      <c r="L689" s="31"/>
      <c r="M689" s="31"/>
      <c r="N689" s="31"/>
      <c r="O689" s="192"/>
    </row>
    <row r="690" spans="1:75" hidden="1" x14ac:dyDescent="0.2">
      <c r="A690" s="6"/>
      <c r="B690" s="10" t="s">
        <v>156</v>
      </c>
      <c r="C690" s="6"/>
      <c r="D690" s="31"/>
      <c r="E690" s="31"/>
      <c r="F690" s="31"/>
      <c r="G690" s="31"/>
      <c r="H690" s="31">
        <v>16551.61</v>
      </c>
      <c r="I690" s="41">
        <v>2.09</v>
      </c>
      <c r="J690" s="31"/>
      <c r="K690" s="31"/>
      <c r="L690" s="31"/>
      <c r="M690" s="31"/>
      <c r="N690" s="31"/>
      <c r="O690" s="192"/>
    </row>
    <row r="691" spans="1:75" hidden="1" x14ac:dyDescent="0.2">
      <c r="A691" s="6"/>
      <c r="B691" s="17" t="s">
        <v>157</v>
      </c>
      <c r="C691" s="6"/>
      <c r="D691" s="31"/>
      <c r="E691" s="31"/>
      <c r="F691" s="31"/>
      <c r="G691" s="31"/>
      <c r="H691" s="31">
        <v>16551.61</v>
      </c>
      <c r="I691" s="41">
        <v>2.09</v>
      </c>
      <c r="J691" s="31"/>
      <c r="K691" s="31"/>
      <c r="L691" s="31"/>
      <c r="M691" s="31"/>
      <c r="N691" s="31"/>
      <c r="O691" s="192"/>
    </row>
    <row r="692" spans="1:75" ht="38.25" x14ac:dyDescent="0.2">
      <c r="A692" s="6" t="s">
        <v>98</v>
      </c>
      <c r="B692" s="16" t="s">
        <v>158</v>
      </c>
      <c r="C692" s="6"/>
      <c r="D692" s="31">
        <f>60616+1259</f>
        <v>61875</v>
      </c>
      <c r="E692" s="31">
        <f>C692*D692</f>
        <v>0</v>
      </c>
      <c r="F692" s="31">
        <f t="shared" ref="F692" si="387">ROUND((D692*10.47143%),0)</f>
        <v>6479</v>
      </c>
      <c r="G692" s="31">
        <f t="shared" ref="G692" si="388">ROUND((C692*F692),0)</f>
        <v>0</v>
      </c>
      <c r="H692" s="31">
        <v>16551.61</v>
      </c>
      <c r="I692" s="41">
        <v>2.09</v>
      </c>
      <c r="J692" s="31">
        <f t="shared" ref="J692" si="389">H692*I692</f>
        <v>34592.8649</v>
      </c>
      <c r="K692" s="31">
        <f t="shared" ref="K692" si="390">C692*J692</f>
        <v>0</v>
      </c>
      <c r="L692" s="31">
        <f t="shared" ref="L692:M692" si="391">D692+F692+J692</f>
        <v>102946.8649</v>
      </c>
      <c r="M692" s="31">
        <f t="shared" si="391"/>
        <v>0</v>
      </c>
      <c r="N692" s="31"/>
      <c r="O692" s="192">
        <f t="shared" ref="O692" si="392">M692+N692</f>
        <v>0</v>
      </c>
    </row>
    <row r="693" spans="1:75" s="11" customFormat="1" x14ac:dyDescent="0.2">
      <c r="A693" s="4">
        <v>5</v>
      </c>
      <c r="B693" s="5" t="s">
        <v>174</v>
      </c>
      <c r="C693" s="4">
        <f>SUM(C694:C705)</f>
        <v>82</v>
      </c>
      <c r="D693" s="32"/>
      <c r="E693" s="32">
        <f>SUM(E694:E705)</f>
        <v>4381588</v>
      </c>
      <c r="F693" s="31"/>
      <c r="G693" s="32">
        <f>SUM(G694:G705)</f>
        <v>458790</v>
      </c>
      <c r="H693" s="32"/>
      <c r="I693" s="47"/>
      <c r="J693" s="31"/>
      <c r="K693" s="32">
        <f>SUM(K694:K705)</f>
        <v>2836614.9218000001</v>
      </c>
      <c r="L693" s="32"/>
      <c r="M693" s="32">
        <f>SUM(M694:M705)</f>
        <v>7676992.9217999997</v>
      </c>
      <c r="N693" s="32"/>
      <c r="O693" s="190">
        <f>SUM(O694:O705)</f>
        <v>7676992.9217999997</v>
      </c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1"/>
      <c r="AT693" s="201"/>
      <c r="AU693" s="201"/>
      <c r="AV693" s="201"/>
      <c r="AW693" s="201"/>
      <c r="AX693" s="201"/>
      <c r="AY693" s="201"/>
      <c r="AZ693" s="201"/>
      <c r="BA693" s="201"/>
      <c r="BB693" s="201"/>
      <c r="BC693" s="201"/>
      <c r="BD693" s="201"/>
      <c r="BE693" s="201"/>
      <c r="BF693" s="201"/>
      <c r="BG693" s="201"/>
      <c r="BH693" s="201"/>
      <c r="BI693" s="201"/>
      <c r="BJ693" s="201"/>
      <c r="BK693" s="201"/>
      <c r="BL693" s="201"/>
      <c r="BM693" s="201"/>
      <c r="BN693" s="201"/>
      <c r="BO693" s="201"/>
      <c r="BP693" s="201"/>
      <c r="BQ693" s="201"/>
      <c r="BR693" s="201"/>
      <c r="BS693" s="201"/>
      <c r="BT693" s="201"/>
      <c r="BU693" s="201"/>
      <c r="BV693" s="201"/>
      <c r="BW693" s="201"/>
    </row>
    <row r="694" spans="1:75" ht="25.5" x14ac:dyDescent="0.2">
      <c r="A694" s="6" t="s">
        <v>99</v>
      </c>
      <c r="B694" s="14" t="s">
        <v>160</v>
      </c>
      <c r="C694" s="6"/>
      <c r="D694" s="31"/>
      <c r="E694" s="31"/>
      <c r="F694" s="31"/>
      <c r="G694" s="31"/>
      <c r="H694" s="31"/>
      <c r="I694" s="41"/>
      <c r="J694" s="31"/>
      <c r="K694" s="31"/>
      <c r="L694" s="31"/>
      <c r="M694" s="31"/>
      <c r="N694" s="31"/>
      <c r="O694" s="192"/>
    </row>
    <row r="695" spans="1:75" x14ac:dyDescent="0.2">
      <c r="A695" s="6"/>
      <c r="B695" s="10" t="s">
        <v>280</v>
      </c>
      <c r="C695" s="6">
        <v>12</v>
      </c>
      <c r="D695" s="31">
        <v>53434</v>
      </c>
      <c r="E695" s="31">
        <f>C695*D695</f>
        <v>641208</v>
      </c>
      <c r="F695" s="31">
        <f t="shared" ref="F695:F696" si="393">ROUND((D695*10.47143%),0)</f>
        <v>5595</v>
      </c>
      <c r="G695" s="31">
        <f t="shared" ref="G695:G696" si="394">ROUND((C695*F695),0)</f>
        <v>67140</v>
      </c>
      <c r="H695" s="31">
        <v>16551.61</v>
      </c>
      <c r="I695" s="41">
        <v>2.09</v>
      </c>
      <c r="J695" s="31">
        <f t="shared" ref="J695" si="395">H695*I695</f>
        <v>34592.8649</v>
      </c>
      <c r="K695" s="31">
        <f t="shared" ref="K695" si="396">C695*J695</f>
        <v>415114.37880000001</v>
      </c>
      <c r="L695" s="31">
        <f t="shared" ref="L695" si="397">D695+F695+J695</f>
        <v>93621.8649</v>
      </c>
      <c r="M695" s="31">
        <f t="shared" ref="L695:M696" si="398">E695+G695+K695</f>
        <v>1123462.3788000001</v>
      </c>
      <c r="N695" s="31"/>
      <c r="O695" s="192">
        <f t="shared" ref="O695:O696" si="399">M695+N695</f>
        <v>1123462.3788000001</v>
      </c>
    </row>
    <row r="696" spans="1:75" x14ac:dyDescent="0.2">
      <c r="A696" s="6"/>
      <c r="B696" s="103" t="s">
        <v>309</v>
      </c>
      <c r="C696" s="6">
        <v>70</v>
      </c>
      <c r="D696" s="31">
        <v>53434</v>
      </c>
      <c r="E696" s="31">
        <f>C696*D696</f>
        <v>3740380</v>
      </c>
      <c r="F696" s="31">
        <f t="shared" si="393"/>
        <v>5595</v>
      </c>
      <c r="G696" s="31">
        <f t="shared" si="394"/>
        <v>391650</v>
      </c>
      <c r="H696" s="31">
        <v>16551.61</v>
      </c>
      <c r="I696" s="41">
        <v>2.09</v>
      </c>
      <c r="J696" s="31">
        <f t="shared" ref="J696" si="400">H696*I696</f>
        <v>34592.8649</v>
      </c>
      <c r="K696" s="31">
        <f t="shared" ref="K696" si="401">C696*J696</f>
        <v>2421500.5430000001</v>
      </c>
      <c r="L696" s="31">
        <f t="shared" si="398"/>
        <v>93621.8649</v>
      </c>
      <c r="M696" s="31">
        <f t="shared" si="398"/>
        <v>6553530.5429999996</v>
      </c>
      <c r="N696" s="31"/>
      <c r="O696" s="192">
        <f t="shared" si="399"/>
        <v>6553530.5429999996</v>
      </c>
    </row>
    <row r="697" spans="1:75" x14ac:dyDescent="0.2">
      <c r="A697" s="6"/>
      <c r="B697" s="7" t="s">
        <v>305</v>
      </c>
      <c r="C697" s="6"/>
      <c r="D697" s="31"/>
      <c r="E697" s="31"/>
      <c r="F697" s="31"/>
      <c r="G697" s="31"/>
      <c r="H697" s="31"/>
      <c r="I697" s="41"/>
      <c r="J697" s="31"/>
      <c r="K697" s="31"/>
      <c r="L697" s="31"/>
      <c r="M697" s="31"/>
      <c r="N697" s="31"/>
      <c r="O697" s="192"/>
    </row>
    <row r="698" spans="1:75" hidden="1" x14ac:dyDescent="0.2">
      <c r="A698" s="6"/>
      <c r="B698" s="103" t="s">
        <v>156</v>
      </c>
      <c r="C698" s="6"/>
      <c r="D698" s="31"/>
      <c r="E698" s="31"/>
      <c r="F698" s="31"/>
      <c r="G698" s="31"/>
      <c r="H698" s="31"/>
      <c r="I698" s="41"/>
      <c r="J698" s="31"/>
      <c r="K698" s="31"/>
      <c r="L698" s="31"/>
      <c r="M698" s="31"/>
      <c r="N698" s="31"/>
      <c r="O698" s="192"/>
    </row>
    <row r="699" spans="1:75" hidden="1" x14ac:dyDescent="0.2">
      <c r="A699" s="6"/>
      <c r="B699" s="7" t="s">
        <v>157</v>
      </c>
      <c r="C699" s="6"/>
      <c r="D699" s="31"/>
      <c r="E699" s="31"/>
      <c r="F699" s="31"/>
      <c r="G699" s="31"/>
      <c r="H699" s="31"/>
      <c r="I699" s="41"/>
      <c r="J699" s="31"/>
      <c r="K699" s="31"/>
      <c r="L699" s="31"/>
      <c r="M699" s="31"/>
      <c r="N699" s="31"/>
      <c r="O699" s="192"/>
    </row>
    <row r="700" spans="1:75" ht="38.25" hidden="1" x14ac:dyDescent="0.2">
      <c r="A700" s="6" t="s">
        <v>100</v>
      </c>
      <c r="B700" s="16" t="s">
        <v>175</v>
      </c>
      <c r="C700" s="6"/>
      <c r="D700" s="31"/>
      <c r="E700" s="31"/>
      <c r="F700" s="31"/>
      <c r="G700" s="31"/>
      <c r="H700" s="31"/>
      <c r="I700" s="41"/>
      <c r="J700" s="31"/>
      <c r="K700" s="31"/>
      <c r="L700" s="31"/>
      <c r="M700" s="31"/>
      <c r="N700" s="31"/>
      <c r="O700" s="192"/>
    </row>
    <row r="701" spans="1:75" hidden="1" x14ac:dyDescent="0.2">
      <c r="A701" s="6"/>
      <c r="B701" s="10" t="s">
        <v>91</v>
      </c>
      <c r="C701" s="6"/>
      <c r="D701" s="31"/>
      <c r="E701" s="31"/>
      <c r="F701" s="31"/>
      <c r="G701" s="31"/>
      <c r="H701" s="31"/>
      <c r="I701" s="41"/>
      <c r="J701" s="31"/>
      <c r="K701" s="31"/>
      <c r="L701" s="31"/>
      <c r="M701" s="31"/>
      <c r="N701" s="31"/>
      <c r="O701" s="192"/>
    </row>
    <row r="702" spans="1:75" hidden="1" x14ac:dyDescent="0.2">
      <c r="A702" s="6"/>
      <c r="B702" s="17" t="s">
        <v>92</v>
      </c>
      <c r="C702" s="6"/>
      <c r="D702" s="31"/>
      <c r="E702" s="31"/>
      <c r="F702" s="31"/>
      <c r="G702" s="31"/>
      <c r="H702" s="31"/>
      <c r="I702" s="41"/>
      <c r="J702" s="31"/>
      <c r="K702" s="31"/>
      <c r="L702" s="31"/>
      <c r="M702" s="31"/>
      <c r="N702" s="31"/>
      <c r="O702" s="192"/>
    </row>
    <row r="703" spans="1:75" hidden="1" x14ac:dyDescent="0.2">
      <c r="A703" s="6"/>
      <c r="B703" s="10" t="s">
        <v>156</v>
      </c>
      <c r="C703" s="6"/>
      <c r="D703" s="31"/>
      <c r="E703" s="31"/>
      <c r="F703" s="31"/>
      <c r="G703" s="31"/>
      <c r="H703" s="31"/>
      <c r="I703" s="41"/>
      <c r="J703" s="31"/>
      <c r="K703" s="31"/>
      <c r="L703" s="31"/>
      <c r="M703" s="31"/>
      <c r="N703" s="31"/>
      <c r="O703" s="192"/>
    </row>
    <row r="704" spans="1:75" hidden="1" x14ac:dyDescent="0.2">
      <c r="A704" s="6"/>
      <c r="B704" s="17" t="s">
        <v>157</v>
      </c>
      <c r="C704" s="6"/>
      <c r="D704" s="31"/>
      <c r="E704" s="31"/>
      <c r="F704" s="31"/>
      <c r="G704" s="31"/>
      <c r="H704" s="31"/>
      <c r="I704" s="41"/>
      <c r="J704" s="31"/>
      <c r="K704" s="31"/>
      <c r="L704" s="31"/>
      <c r="M704" s="31"/>
      <c r="N704" s="31"/>
      <c r="O704" s="192"/>
    </row>
    <row r="705" spans="1:75" ht="38.25" x14ac:dyDescent="0.2">
      <c r="A705" s="6" t="s">
        <v>101</v>
      </c>
      <c r="B705" s="103" t="s">
        <v>162</v>
      </c>
      <c r="C705" s="6"/>
      <c r="D705" s="31">
        <f>71217+1259</f>
        <v>72476</v>
      </c>
      <c r="E705" s="31">
        <f>C705*D705</f>
        <v>0</v>
      </c>
      <c r="F705" s="31">
        <f t="shared" ref="F705" si="402">ROUND((D705*10.47143%),0)</f>
        <v>7589</v>
      </c>
      <c r="G705" s="31">
        <f t="shared" ref="G705" si="403">ROUND((C705*F705),0)</f>
        <v>0</v>
      </c>
      <c r="H705" s="31">
        <v>16551.61</v>
      </c>
      <c r="I705" s="41">
        <v>2.09</v>
      </c>
      <c r="J705" s="31">
        <f t="shared" ref="J705" si="404">H705*I705</f>
        <v>34592.8649</v>
      </c>
      <c r="K705" s="31">
        <f t="shared" ref="K705" si="405">C705*J705</f>
        <v>0</v>
      </c>
      <c r="L705" s="31">
        <f t="shared" ref="L705:M705" si="406">D705+F705+J705</f>
        <v>114657.8649</v>
      </c>
      <c r="M705" s="31">
        <f t="shared" si="406"/>
        <v>0</v>
      </c>
      <c r="N705" s="31"/>
      <c r="O705" s="192">
        <f t="shared" ref="O705" si="407">M705+N705</f>
        <v>0</v>
      </c>
    </row>
    <row r="706" spans="1:75" s="11" customFormat="1" x14ac:dyDescent="0.2">
      <c r="A706" s="4">
        <v>6</v>
      </c>
      <c r="B706" s="5" t="s">
        <v>170</v>
      </c>
      <c r="C706" s="4">
        <f>SUM(C707:C717)</f>
        <v>16</v>
      </c>
      <c r="D706" s="32"/>
      <c r="E706" s="32">
        <f>SUM(E707:E717)</f>
        <v>921872</v>
      </c>
      <c r="F706" s="31"/>
      <c r="G706" s="32">
        <f>SUM(G707:G717)</f>
        <v>96528</v>
      </c>
      <c r="H706" s="32"/>
      <c r="I706" s="47"/>
      <c r="J706" s="31"/>
      <c r="K706" s="32">
        <f>SUM(K707:K717)</f>
        <v>553485.83840000001</v>
      </c>
      <c r="L706" s="32"/>
      <c r="M706" s="32">
        <f>SUM(M707:M717)</f>
        <v>1571885.8384</v>
      </c>
      <c r="N706" s="32"/>
      <c r="O706" s="190">
        <f>SUM(O707:O717)</f>
        <v>1571885.8384</v>
      </c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1"/>
      <c r="AT706" s="201"/>
      <c r="AU706" s="201"/>
      <c r="AV706" s="201"/>
      <c r="AW706" s="201"/>
      <c r="AX706" s="201"/>
      <c r="AY706" s="201"/>
      <c r="AZ706" s="201"/>
      <c r="BA706" s="201"/>
      <c r="BB706" s="201"/>
      <c r="BC706" s="201"/>
      <c r="BD706" s="201"/>
      <c r="BE706" s="201"/>
      <c r="BF706" s="201"/>
      <c r="BG706" s="201"/>
      <c r="BH706" s="201"/>
      <c r="BI706" s="201"/>
      <c r="BJ706" s="201"/>
      <c r="BK706" s="201"/>
      <c r="BL706" s="201"/>
      <c r="BM706" s="201"/>
      <c r="BN706" s="201"/>
      <c r="BO706" s="201"/>
      <c r="BP706" s="201"/>
      <c r="BQ706" s="201"/>
      <c r="BR706" s="201"/>
      <c r="BS706" s="201"/>
      <c r="BT706" s="201"/>
      <c r="BU706" s="201"/>
      <c r="BV706" s="201"/>
      <c r="BW706" s="201"/>
    </row>
    <row r="707" spans="1:75" ht="25.5" x14ac:dyDescent="0.2">
      <c r="A707" s="6" t="s">
        <v>102</v>
      </c>
      <c r="B707" s="14" t="s">
        <v>166</v>
      </c>
      <c r="C707" s="6"/>
      <c r="D707" s="31"/>
      <c r="E707" s="31"/>
      <c r="F707" s="31"/>
      <c r="G707" s="31"/>
      <c r="H707" s="31"/>
      <c r="I707" s="41"/>
      <c r="J707" s="31"/>
      <c r="K707" s="31"/>
      <c r="L707" s="31"/>
      <c r="M707" s="31"/>
      <c r="N707" s="31"/>
      <c r="O707" s="192"/>
    </row>
    <row r="708" spans="1:75" hidden="1" x14ac:dyDescent="0.2">
      <c r="A708" s="6"/>
      <c r="B708" s="103" t="s">
        <v>91</v>
      </c>
      <c r="C708" s="6"/>
      <c r="D708" s="31"/>
      <c r="E708" s="31"/>
      <c r="F708" s="31"/>
      <c r="G708" s="31"/>
      <c r="H708" s="31"/>
      <c r="I708" s="41"/>
      <c r="J708" s="31"/>
      <c r="K708" s="31"/>
      <c r="L708" s="31"/>
      <c r="M708" s="31"/>
      <c r="N708" s="31"/>
      <c r="O708" s="192"/>
    </row>
    <row r="709" spans="1:75" hidden="1" x14ac:dyDescent="0.2">
      <c r="A709" s="6"/>
      <c r="B709" s="7" t="s">
        <v>92</v>
      </c>
      <c r="C709" s="6"/>
      <c r="D709" s="31"/>
      <c r="E709" s="31"/>
      <c r="F709" s="31"/>
      <c r="G709" s="31"/>
      <c r="H709" s="31"/>
      <c r="I709" s="41"/>
      <c r="J709" s="31"/>
      <c r="K709" s="31"/>
      <c r="L709" s="31"/>
      <c r="M709" s="31"/>
      <c r="N709" s="31"/>
      <c r="O709" s="192"/>
    </row>
    <row r="710" spans="1:75" x14ac:dyDescent="0.2">
      <c r="A710" s="6"/>
      <c r="B710" s="10" t="s">
        <v>280</v>
      </c>
      <c r="C710" s="6">
        <v>16</v>
      </c>
      <c r="D710" s="31">
        <v>57617</v>
      </c>
      <c r="E710" s="31">
        <f>C710*D710</f>
        <v>921872</v>
      </c>
      <c r="F710" s="31">
        <f t="shared" ref="F710:F717" si="408">ROUND((D710*10.47143%),0)</f>
        <v>6033</v>
      </c>
      <c r="G710" s="31">
        <f t="shared" ref="G710" si="409">ROUND((C710*F710),0)</f>
        <v>96528</v>
      </c>
      <c r="H710" s="31">
        <v>16551.61</v>
      </c>
      <c r="I710" s="41">
        <v>2.09</v>
      </c>
      <c r="J710" s="31">
        <f t="shared" ref="J710" si="410">H710*I710</f>
        <v>34592.8649</v>
      </c>
      <c r="K710" s="31">
        <f t="shared" ref="K710" si="411">C710*J710</f>
        <v>553485.83840000001</v>
      </c>
      <c r="L710" s="31">
        <f t="shared" ref="L710:M710" si="412">D710+F710+J710</f>
        <v>98242.8649</v>
      </c>
      <c r="M710" s="31">
        <f t="shared" si="412"/>
        <v>1571885.8384</v>
      </c>
      <c r="N710" s="31"/>
      <c r="O710" s="192">
        <f t="shared" ref="O710" si="413">M710+N710</f>
        <v>1571885.8384</v>
      </c>
    </row>
    <row r="711" spans="1:75" hidden="1" x14ac:dyDescent="0.2">
      <c r="A711" s="6"/>
      <c r="B711" s="7" t="s">
        <v>157</v>
      </c>
      <c r="C711" s="6"/>
      <c r="D711" s="31"/>
      <c r="E711" s="31">
        <f t="shared" ref="E711:E717" si="414">C711*D711</f>
        <v>0</v>
      </c>
      <c r="F711" s="31">
        <f t="shared" si="408"/>
        <v>0</v>
      </c>
      <c r="G711" s="31"/>
      <c r="H711" s="31">
        <v>16551.61</v>
      </c>
      <c r="I711" s="41">
        <v>2.09</v>
      </c>
      <c r="J711" s="31"/>
      <c r="K711" s="31"/>
      <c r="L711" s="31"/>
      <c r="M711" s="31"/>
      <c r="N711" s="31"/>
      <c r="O711" s="192"/>
    </row>
    <row r="712" spans="1:75" ht="38.25" hidden="1" x14ac:dyDescent="0.2">
      <c r="A712" s="6" t="s">
        <v>103</v>
      </c>
      <c r="B712" s="16" t="s">
        <v>175</v>
      </c>
      <c r="C712" s="6"/>
      <c r="D712" s="31"/>
      <c r="E712" s="31">
        <f t="shared" si="414"/>
        <v>0</v>
      </c>
      <c r="F712" s="31">
        <f t="shared" si="408"/>
        <v>0</v>
      </c>
      <c r="G712" s="31"/>
      <c r="H712" s="31">
        <v>16551.61</v>
      </c>
      <c r="I712" s="41">
        <v>2.09</v>
      </c>
      <c r="J712" s="31"/>
      <c r="K712" s="31"/>
      <c r="L712" s="31"/>
      <c r="M712" s="31"/>
      <c r="N712" s="31"/>
      <c r="O712" s="192"/>
    </row>
    <row r="713" spans="1:75" hidden="1" x14ac:dyDescent="0.2">
      <c r="A713" s="6"/>
      <c r="B713" s="10" t="s">
        <v>91</v>
      </c>
      <c r="C713" s="6"/>
      <c r="D713" s="31"/>
      <c r="E713" s="31">
        <f t="shared" si="414"/>
        <v>0</v>
      </c>
      <c r="F713" s="31">
        <f t="shared" si="408"/>
        <v>0</v>
      </c>
      <c r="G713" s="31"/>
      <c r="H713" s="31">
        <v>16551.61</v>
      </c>
      <c r="I713" s="41">
        <v>2.09</v>
      </c>
      <c r="J713" s="31"/>
      <c r="K713" s="31"/>
      <c r="L713" s="31"/>
      <c r="M713" s="31"/>
      <c r="N713" s="31"/>
      <c r="O713" s="192"/>
    </row>
    <row r="714" spans="1:75" hidden="1" x14ac:dyDescent="0.2">
      <c r="A714" s="6"/>
      <c r="B714" s="17" t="s">
        <v>92</v>
      </c>
      <c r="C714" s="6"/>
      <c r="D714" s="31"/>
      <c r="E714" s="31">
        <f t="shared" si="414"/>
        <v>0</v>
      </c>
      <c r="F714" s="31">
        <f t="shared" si="408"/>
        <v>0</v>
      </c>
      <c r="G714" s="31"/>
      <c r="H714" s="31">
        <v>16551.61</v>
      </c>
      <c r="I714" s="41">
        <v>2.09</v>
      </c>
      <c r="J714" s="31"/>
      <c r="K714" s="31"/>
      <c r="L714" s="31"/>
      <c r="M714" s="31"/>
      <c r="N714" s="31"/>
      <c r="O714" s="192"/>
    </row>
    <row r="715" spans="1:75" hidden="1" x14ac:dyDescent="0.2">
      <c r="A715" s="6"/>
      <c r="B715" s="10" t="s">
        <v>156</v>
      </c>
      <c r="C715" s="6"/>
      <c r="D715" s="31"/>
      <c r="E715" s="31">
        <f t="shared" si="414"/>
        <v>0</v>
      </c>
      <c r="F715" s="31">
        <f t="shared" si="408"/>
        <v>0</v>
      </c>
      <c r="G715" s="31"/>
      <c r="H715" s="31">
        <v>16551.61</v>
      </c>
      <c r="I715" s="41">
        <v>2.09</v>
      </c>
      <c r="J715" s="31"/>
      <c r="K715" s="31"/>
      <c r="L715" s="31"/>
      <c r="M715" s="31"/>
      <c r="N715" s="31"/>
      <c r="O715" s="192"/>
    </row>
    <row r="716" spans="1:75" hidden="1" x14ac:dyDescent="0.2">
      <c r="A716" s="6"/>
      <c r="B716" s="17" t="s">
        <v>157</v>
      </c>
      <c r="C716" s="21"/>
      <c r="D716" s="34"/>
      <c r="E716" s="34">
        <f t="shared" si="414"/>
        <v>0</v>
      </c>
      <c r="F716" s="34">
        <f t="shared" si="408"/>
        <v>0</v>
      </c>
      <c r="G716" s="34"/>
      <c r="H716" s="34">
        <v>16551.61</v>
      </c>
      <c r="I716" s="74">
        <v>2.09</v>
      </c>
      <c r="J716" s="34"/>
      <c r="K716" s="34"/>
      <c r="L716" s="34"/>
      <c r="M716" s="34"/>
      <c r="N716" s="34"/>
      <c r="O716" s="193"/>
    </row>
    <row r="717" spans="1:75" ht="38.25" x14ac:dyDescent="0.2">
      <c r="A717" s="6" t="s">
        <v>104</v>
      </c>
      <c r="B717" s="140" t="s">
        <v>168</v>
      </c>
      <c r="C717" s="61"/>
      <c r="D717" s="42">
        <f>75192+1259</f>
        <v>76451</v>
      </c>
      <c r="E717" s="42">
        <f t="shared" si="414"/>
        <v>0</v>
      </c>
      <c r="F717" s="42">
        <f t="shared" si="408"/>
        <v>8006</v>
      </c>
      <c r="G717" s="42">
        <f t="shared" ref="G717" si="415">ROUND((C717*F717),0)</f>
        <v>0</v>
      </c>
      <c r="H717" s="42">
        <v>16551.61</v>
      </c>
      <c r="I717" s="63">
        <v>2.09</v>
      </c>
      <c r="J717" s="42">
        <f t="shared" ref="J717" si="416">H717*I717</f>
        <v>34592.8649</v>
      </c>
      <c r="K717" s="42">
        <f t="shared" ref="K717" si="417">C717*J717</f>
        <v>0</v>
      </c>
      <c r="L717" s="42">
        <f t="shared" ref="L717:M717" si="418">D717+F717+J717</f>
        <v>119049.8649</v>
      </c>
      <c r="M717" s="42">
        <f t="shared" si="418"/>
        <v>0</v>
      </c>
      <c r="N717" s="42"/>
      <c r="O717" s="169">
        <f t="shared" ref="O717" si="419">M717+N717</f>
        <v>0</v>
      </c>
    </row>
    <row r="718" spans="1:75" s="19" customFormat="1" x14ac:dyDescent="0.2">
      <c r="B718" s="18" t="s">
        <v>207</v>
      </c>
      <c r="C718" s="85">
        <f>C682+C693+C706</f>
        <v>157</v>
      </c>
      <c r="D718" s="48"/>
      <c r="E718" s="75">
        <f>E682+E693+E706</f>
        <v>7823998</v>
      </c>
      <c r="F718" s="48"/>
      <c r="G718" s="48">
        <f>G682+G693+G706</f>
        <v>819247</v>
      </c>
      <c r="H718" s="48"/>
      <c r="I718" s="143"/>
      <c r="J718" s="48"/>
      <c r="K718" s="48">
        <f>K682+K693+K706</f>
        <v>5431174.9993000003</v>
      </c>
      <c r="L718" s="48"/>
      <c r="M718" s="48">
        <f>M682+M693+M706</f>
        <v>14074419.999300001</v>
      </c>
      <c r="N718" s="48">
        <v>184000</v>
      </c>
      <c r="O718" s="146">
        <f>M718+N718</f>
        <v>14258419.999300001</v>
      </c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  <c r="AV718" s="138"/>
      <c r="AW718" s="138"/>
      <c r="AX718" s="138"/>
      <c r="AY718" s="138"/>
      <c r="AZ718" s="138"/>
      <c r="BA718" s="138"/>
      <c r="BB718" s="138"/>
      <c r="BC718" s="138"/>
      <c r="BD718" s="138"/>
      <c r="BE718" s="138"/>
      <c r="BF718" s="138"/>
      <c r="BG718" s="138"/>
      <c r="BH718" s="138"/>
      <c r="BI718" s="138"/>
      <c r="BJ718" s="138"/>
      <c r="BK718" s="138"/>
      <c r="BL718" s="138"/>
      <c r="BM718" s="138"/>
      <c r="BN718" s="138"/>
      <c r="BO718" s="138"/>
      <c r="BP718" s="138"/>
      <c r="BQ718" s="138"/>
      <c r="BR718" s="138"/>
      <c r="BS718" s="138"/>
      <c r="BT718" s="138"/>
      <c r="BU718" s="138"/>
      <c r="BV718" s="138"/>
      <c r="BW718" s="138"/>
    </row>
    <row r="719" spans="1:75" hidden="1" x14ac:dyDescent="0.2">
      <c r="A719" s="6"/>
      <c r="B719" s="13" t="s">
        <v>156</v>
      </c>
      <c r="C719" s="136"/>
      <c r="D719" s="137"/>
      <c r="E719" s="137"/>
      <c r="F719" s="137"/>
      <c r="G719" s="137"/>
      <c r="H719" s="137"/>
      <c r="I719" s="144"/>
      <c r="J719" s="137"/>
      <c r="K719" s="137"/>
      <c r="L719" s="137"/>
      <c r="M719" s="137"/>
      <c r="N719" s="137"/>
      <c r="O719" s="196"/>
    </row>
    <row r="720" spans="1:75" hidden="1" x14ac:dyDescent="0.2">
      <c r="A720" s="6"/>
      <c r="B720" s="7" t="s">
        <v>157</v>
      </c>
      <c r="C720" s="6"/>
      <c r="D720" s="31"/>
      <c r="E720" s="31"/>
      <c r="F720" s="31"/>
      <c r="G720" s="31"/>
      <c r="H720" s="31"/>
      <c r="I720" s="41"/>
      <c r="J720" s="31"/>
      <c r="K720" s="31"/>
      <c r="L720" s="31"/>
      <c r="M720" s="31"/>
      <c r="N720" s="31"/>
      <c r="O720" s="192"/>
    </row>
    <row r="721" spans="1:75" s="11" customFormat="1" x14ac:dyDescent="0.2">
      <c r="A721" s="4" t="s">
        <v>172</v>
      </c>
      <c r="B721" s="18" t="s">
        <v>208</v>
      </c>
      <c r="C721" s="4">
        <f>SUM(C722:C726)</f>
        <v>82</v>
      </c>
      <c r="D721" s="32"/>
      <c r="E721" s="32">
        <f>SUM(E722:E726)</f>
        <v>3815119</v>
      </c>
      <c r="F721" s="32"/>
      <c r="G721" s="32">
        <f>SUM(G722:G726)</f>
        <v>399481</v>
      </c>
      <c r="H721" s="32"/>
      <c r="I721" s="47"/>
      <c r="J721" s="32"/>
      <c r="K721" s="32">
        <f>SUM(K722:K726)</f>
        <v>2164626.3098800001</v>
      </c>
      <c r="L721" s="32"/>
      <c r="M721" s="32">
        <f>SUM(M722:M726)</f>
        <v>6379226.3098799996</v>
      </c>
      <c r="N721" s="32"/>
      <c r="O721" s="190">
        <f>SUM(O722:O726)</f>
        <v>6379226.3098799996</v>
      </c>
      <c r="P721" s="201"/>
      <c r="Q721" s="201"/>
      <c r="R721" s="201"/>
      <c r="S721" s="201"/>
      <c r="T721" s="201"/>
      <c r="U721" s="201"/>
      <c r="V721" s="201"/>
      <c r="W721" s="201"/>
      <c r="X721" s="201"/>
      <c r="Y721" s="201"/>
      <c r="Z721" s="201"/>
      <c r="AA721" s="201"/>
      <c r="AB721" s="201"/>
      <c r="AC721" s="201"/>
      <c r="AD721" s="201"/>
      <c r="AE721" s="201"/>
      <c r="AF721" s="201"/>
      <c r="AG721" s="201"/>
      <c r="AH721" s="201"/>
      <c r="AI721" s="201"/>
      <c r="AJ721" s="201"/>
      <c r="AK721" s="201"/>
      <c r="AL721" s="201"/>
      <c r="AM721" s="201"/>
      <c r="AN721" s="201"/>
      <c r="AO721" s="201"/>
      <c r="AP721" s="201"/>
      <c r="AQ721" s="201"/>
      <c r="AR721" s="201"/>
      <c r="AS721" s="201"/>
      <c r="AT721" s="201"/>
      <c r="AU721" s="201"/>
      <c r="AV721" s="201"/>
      <c r="AW721" s="201"/>
      <c r="AX721" s="201"/>
      <c r="AY721" s="201"/>
      <c r="AZ721" s="201"/>
      <c r="BA721" s="201"/>
      <c r="BB721" s="201"/>
      <c r="BC721" s="201"/>
      <c r="BD721" s="201"/>
      <c r="BE721" s="201"/>
      <c r="BF721" s="201"/>
      <c r="BG721" s="201"/>
      <c r="BH721" s="201"/>
      <c r="BI721" s="201"/>
      <c r="BJ721" s="201"/>
      <c r="BK721" s="201"/>
      <c r="BL721" s="201"/>
      <c r="BM721" s="201"/>
      <c r="BN721" s="201"/>
      <c r="BO721" s="201"/>
      <c r="BP721" s="201"/>
      <c r="BQ721" s="201"/>
      <c r="BR721" s="201"/>
      <c r="BS721" s="201"/>
      <c r="BT721" s="201"/>
      <c r="BU721" s="201"/>
      <c r="BV721" s="201"/>
      <c r="BW721" s="201"/>
    </row>
    <row r="722" spans="1:75" ht="28.5" customHeight="1" x14ac:dyDescent="0.2">
      <c r="A722" s="6" t="s">
        <v>96</v>
      </c>
      <c r="B722" s="16" t="s">
        <v>154</v>
      </c>
      <c r="C722" s="6"/>
      <c r="D722" s="31"/>
      <c r="E722" s="31"/>
      <c r="F722" s="31"/>
      <c r="G722" s="31"/>
      <c r="H722" s="31"/>
      <c r="I722" s="41"/>
      <c r="J722" s="31"/>
      <c r="K722" s="31"/>
      <c r="L722" s="31"/>
      <c r="M722" s="31"/>
      <c r="N722" s="31"/>
      <c r="O722" s="192"/>
    </row>
    <row r="723" spans="1:75" x14ac:dyDescent="0.2">
      <c r="A723" s="6"/>
      <c r="B723" s="10" t="s">
        <v>280</v>
      </c>
      <c r="C723" s="6">
        <v>45</v>
      </c>
      <c r="D723" s="31">
        <v>42278</v>
      </c>
      <c r="E723" s="31">
        <f t="shared" ref="E723:E724" si="420">C723*D723</f>
        <v>1902510</v>
      </c>
      <c r="F723" s="31">
        <f t="shared" ref="F723:F726" si="421">ROUND((D723*10.47143%),0)</f>
        <v>4427</v>
      </c>
      <c r="G723" s="31">
        <f>ROUND((C723*F723),0)</f>
        <v>199215</v>
      </c>
      <c r="H723" s="31">
        <v>16551.61</v>
      </c>
      <c r="I723" s="41">
        <v>1.5940000000000001</v>
      </c>
      <c r="J723" s="31">
        <f t="shared" ref="J723:J724" si="422">H723*I723</f>
        <v>26383.266340000002</v>
      </c>
      <c r="K723" s="31">
        <f>C723*J723+1198.47</f>
        <v>1188445.4553</v>
      </c>
      <c r="L723" s="31">
        <f t="shared" ref="L723:M724" si="423">D723+F723+J723</f>
        <v>73088.266340000002</v>
      </c>
      <c r="M723" s="31">
        <f t="shared" si="423"/>
        <v>3290170.4553</v>
      </c>
      <c r="N723" s="31"/>
      <c r="O723" s="192">
        <f t="shared" ref="O723:O724" si="424">M723+N723</f>
        <v>3290170.4553</v>
      </c>
    </row>
    <row r="724" spans="1:75" x14ac:dyDescent="0.2">
      <c r="A724" s="6"/>
      <c r="B724" s="17" t="s">
        <v>305</v>
      </c>
      <c r="C724" s="6">
        <v>1</v>
      </c>
      <c r="D724" s="31">
        <v>155377</v>
      </c>
      <c r="E724" s="31">
        <f t="shared" si="420"/>
        <v>155377</v>
      </c>
      <c r="F724" s="31">
        <f t="shared" si="421"/>
        <v>16270</v>
      </c>
      <c r="G724" s="31">
        <f t="shared" ref="G724" si="425">ROUND((C724*F724),0)</f>
        <v>16270</v>
      </c>
      <c r="H724" s="31">
        <v>16551.61</v>
      </c>
      <c r="I724" s="41">
        <v>1.5940000000000001</v>
      </c>
      <c r="J724" s="31">
        <f t="shared" si="422"/>
        <v>26383.266340000002</v>
      </c>
      <c r="K724" s="31">
        <f t="shared" ref="K724" si="426">C724*J724</f>
        <v>26383.266340000002</v>
      </c>
      <c r="L724" s="31">
        <f t="shared" si="423"/>
        <v>198030.26634</v>
      </c>
      <c r="M724" s="31">
        <f t="shared" si="423"/>
        <v>198030.26634</v>
      </c>
      <c r="N724" s="31"/>
      <c r="O724" s="192">
        <f t="shared" si="424"/>
        <v>198030.26634</v>
      </c>
    </row>
    <row r="725" spans="1:75" ht="38.25" x14ac:dyDescent="0.2">
      <c r="A725" s="6" t="s">
        <v>97</v>
      </c>
      <c r="B725" s="16" t="s">
        <v>173</v>
      </c>
      <c r="C725" s="6"/>
      <c r="D725" s="31"/>
      <c r="E725" s="31"/>
      <c r="F725" s="31"/>
      <c r="G725" s="31"/>
      <c r="H725" s="31"/>
      <c r="I725" s="41"/>
      <c r="J725" s="31"/>
      <c r="K725" s="31"/>
      <c r="L725" s="31"/>
      <c r="M725" s="31"/>
      <c r="N725" s="31"/>
      <c r="O725" s="192"/>
    </row>
    <row r="726" spans="1:75" x14ac:dyDescent="0.2">
      <c r="A726" s="6"/>
      <c r="B726" s="10" t="s">
        <v>280</v>
      </c>
      <c r="C726" s="6">
        <v>36</v>
      </c>
      <c r="D726" s="31">
        <v>48812</v>
      </c>
      <c r="E726" s="31">
        <f t="shared" ref="E726" si="427">C726*D726</f>
        <v>1757232</v>
      </c>
      <c r="F726" s="31">
        <f t="shared" si="421"/>
        <v>5111</v>
      </c>
      <c r="G726" s="31">
        <f t="shared" ref="G726" si="428">ROUND((C726*F726),0)</f>
        <v>183996</v>
      </c>
      <c r="H726" s="31">
        <v>16551.61</v>
      </c>
      <c r="I726" s="41">
        <v>1.5940000000000001</v>
      </c>
      <c r="J726" s="31">
        <f t="shared" ref="J726" si="429">H726*I726</f>
        <v>26383.266340000002</v>
      </c>
      <c r="K726" s="31">
        <f t="shared" ref="K726" si="430">C726*J726</f>
        <v>949797.58824000007</v>
      </c>
      <c r="L726" s="31">
        <f t="shared" ref="L726:M726" si="431">D726+F726+J726</f>
        <v>80306.266340000002</v>
      </c>
      <c r="M726" s="31">
        <f t="shared" si="431"/>
        <v>2891025.58824</v>
      </c>
      <c r="N726" s="31"/>
      <c r="O726" s="192">
        <f t="shared" ref="O726" si="432">M726+N726</f>
        <v>2891025.58824</v>
      </c>
    </row>
    <row r="727" spans="1:75" hidden="1" x14ac:dyDescent="0.2">
      <c r="A727" s="6"/>
      <c r="B727" s="17" t="s">
        <v>92</v>
      </c>
      <c r="C727" s="6"/>
      <c r="D727" s="31"/>
      <c r="E727" s="31"/>
      <c r="F727" s="31"/>
      <c r="G727" s="31"/>
      <c r="H727" s="31"/>
      <c r="I727" s="41"/>
      <c r="J727" s="31"/>
      <c r="K727" s="31"/>
      <c r="L727" s="31"/>
      <c r="M727" s="31"/>
      <c r="N727" s="31"/>
      <c r="O727" s="192"/>
    </row>
    <row r="728" spans="1:75" hidden="1" x14ac:dyDescent="0.2">
      <c r="A728" s="6"/>
      <c r="B728" s="10" t="s">
        <v>156</v>
      </c>
      <c r="C728" s="6"/>
      <c r="D728" s="31"/>
      <c r="E728" s="31"/>
      <c r="F728" s="31"/>
      <c r="G728" s="31"/>
      <c r="H728" s="31"/>
      <c r="I728" s="41"/>
      <c r="J728" s="31"/>
      <c r="K728" s="31"/>
      <c r="L728" s="31"/>
      <c r="M728" s="31"/>
      <c r="N728" s="31"/>
      <c r="O728" s="192"/>
    </row>
    <row r="729" spans="1:75" hidden="1" x14ac:dyDescent="0.2">
      <c r="A729" s="6"/>
      <c r="B729" s="17" t="s">
        <v>157</v>
      </c>
      <c r="C729" s="6"/>
      <c r="D729" s="31"/>
      <c r="E729" s="31"/>
      <c r="F729" s="31"/>
      <c r="G729" s="31"/>
      <c r="H729" s="31"/>
      <c r="I729" s="41"/>
      <c r="J729" s="31"/>
      <c r="K729" s="31"/>
      <c r="L729" s="31"/>
      <c r="M729" s="31"/>
      <c r="N729" s="31"/>
      <c r="O729" s="192"/>
    </row>
    <row r="730" spans="1:75" ht="38.25" hidden="1" x14ac:dyDescent="0.2">
      <c r="A730" s="6" t="s">
        <v>98</v>
      </c>
      <c r="B730" s="16" t="s">
        <v>158</v>
      </c>
      <c r="C730" s="6"/>
      <c r="D730" s="31"/>
      <c r="E730" s="31"/>
      <c r="F730" s="31"/>
      <c r="G730" s="31"/>
      <c r="H730" s="31"/>
      <c r="I730" s="41"/>
      <c r="J730" s="31"/>
      <c r="K730" s="31"/>
      <c r="L730" s="31"/>
      <c r="M730" s="31"/>
      <c r="N730" s="31"/>
      <c r="O730" s="192"/>
    </row>
    <row r="731" spans="1:75" s="11" customFormat="1" x14ac:dyDescent="0.2">
      <c r="A731" s="4">
        <v>5</v>
      </c>
      <c r="B731" s="5" t="s">
        <v>174</v>
      </c>
      <c r="C731" s="4">
        <f>SUM(C732:C740)</f>
        <v>124</v>
      </c>
      <c r="D731" s="32"/>
      <c r="E731" s="32">
        <f>SUM(E732:E740)</f>
        <v>7045466</v>
      </c>
      <c r="F731" s="31"/>
      <c r="G731" s="32">
        <f>SUM(G732:G740)</f>
        <v>737730</v>
      </c>
      <c r="H731" s="32"/>
      <c r="I731" s="47"/>
      <c r="J731" s="31"/>
      <c r="K731" s="32">
        <f>SUM(K732:K740)</f>
        <v>3271525.0261599999</v>
      </c>
      <c r="L731" s="32"/>
      <c r="M731" s="32">
        <f>SUM(M732:M740)</f>
        <v>11054721.02616</v>
      </c>
      <c r="N731" s="32"/>
      <c r="O731" s="190">
        <f>SUM(O732:O740)</f>
        <v>11054721.02616</v>
      </c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1"/>
      <c r="AT731" s="201"/>
      <c r="AU731" s="201"/>
      <c r="AV731" s="201"/>
      <c r="AW731" s="201"/>
      <c r="AX731" s="201"/>
      <c r="AY731" s="201"/>
      <c r="AZ731" s="201"/>
      <c r="BA731" s="201"/>
      <c r="BB731" s="201"/>
      <c r="BC731" s="201"/>
      <c r="BD731" s="201"/>
      <c r="BE731" s="201"/>
      <c r="BF731" s="201"/>
      <c r="BG731" s="201"/>
      <c r="BH731" s="201"/>
      <c r="BI731" s="201"/>
      <c r="BJ731" s="201"/>
      <c r="BK731" s="201"/>
      <c r="BL731" s="201"/>
      <c r="BM731" s="201"/>
      <c r="BN731" s="201"/>
      <c r="BO731" s="201"/>
      <c r="BP731" s="201"/>
      <c r="BQ731" s="201"/>
      <c r="BR731" s="201"/>
      <c r="BS731" s="201"/>
      <c r="BT731" s="201"/>
      <c r="BU731" s="201"/>
      <c r="BV731" s="201"/>
      <c r="BW731" s="201"/>
    </row>
    <row r="732" spans="1:75" ht="25.5" x14ac:dyDescent="0.2">
      <c r="A732" s="6" t="s">
        <v>99</v>
      </c>
      <c r="B732" s="14" t="s">
        <v>160</v>
      </c>
      <c r="C732" s="6"/>
      <c r="D732" s="31"/>
      <c r="E732" s="31"/>
      <c r="F732" s="31"/>
      <c r="G732" s="31"/>
      <c r="H732" s="31"/>
      <c r="I732" s="41"/>
      <c r="J732" s="31"/>
      <c r="K732" s="31"/>
      <c r="L732" s="31"/>
      <c r="M732" s="31"/>
      <c r="N732" s="31"/>
      <c r="O732" s="192"/>
    </row>
    <row r="733" spans="1:75" x14ac:dyDescent="0.2">
      <c r="A733" s="6"/>
      <c r="B733" s="10" t="s">
        <v>280</v>
      </c>
      <c r="C733" s="6">
        <v>74</v>
      </c>
      <c r="D733" s="31">
        <v>53434</v>
      </c>
      <c r="E733" s="31">
        <f t="shared" ref="E733" si="433">C733*D733</f>
        <v>3954116</v>
      </c>
      <c r="F733" s="31">
        <f t="shared" ref="F733" si="434">ROUND((D733*10.47143%),0)</f>
        <v>5595</v>
      </c>
      <c r="G733" s="31">
        <f t="shared" ref="G733" si="435">ROUND((C733*F733),0)</f>
        <v>414030</v>
      </c>
      <c r="H733" s="31">
        <v>16551.61</v>
      </c>
      <c r="I733" s="41">
        <v>1.5940000000000001</v>
      </c>
      <c r="J733" s="31">
        <f t="shared" ref="J733" si="436">H733*I733</f>
        <v>26383.266340000002</v>
      </c>
      <c r="K733" s="31">
        <f t="shared" ref="K733" si="437">C733*J733</f>
        <v>1952361.7091600001</v>
      </c>
      <c r="L733" s="31">
        <f t="shared" ref="L733:M733" si="438">D733+F733+J733</f>
        <v>85412.266340000002</v>
      </c>
      <c r="M733" s="31">
        <f t="shared" si="438"/>
        <v>6320507.7091600001</v>
      </c>
      <c r="N733" s="31"/>
      <c r="O733" s="192">
        <f t="shared" ref="O733" si="439">M733+N733</f>
        <v>6320507.7091600001</v>
      </c>
    </row>
    <row r="734" spans="1:75" hidden="1" x14ac:dyDescent="0.2">
      <c r="A734" s="6"/>
      <c r="B734" s="7" t="s">
        <v>92</v>
      </c>
      <c r="C734" s="6"/>
      <c r="D734" s="31"/>
      <c r="E734" s="31"/>
      <c r="F734" s="31"/>
      <c r="G734" s="31"/>
      <c r="H734" s="31"/>
      <c r="I734" s="41"/>
      <c r="J734" s="31"/>
      <c r="K734" s="31"/>
      <c r="L734" s="31"/>
      <c r="M734" s="31"/>
      <c r="N734" s="31"/>
      <c r="O734" s="192"/>
    </row>
    <row r="735" spans="1:75" hidden="1" x14ac:dyDescent="0.2">
      <c r="A735" s="6"/>
      <c r="B735" s="103" t="s">
        <v>156</v>
      </c>
      <c r="C735" s="6"/>
      <c r="D735" s="31"/>
      <c r="E735" s="31"/>
      <c r="F735" s="31"/>
      <c r="G735" s="31"/>
      <c r="H735" s="31"/>
      <c r="I735" s="41"/>
      <c r="J735" s="31"/>
      <c r="K735" s="31"/>
      <c r="L735" s="31"/>
      <c r="M735" s="31"/>
      <c r="N735" s="31"/>
      <c r="O735" s="192"/>
    </row>
    <row r="736" spans="1:75" hidden="1" x14ac:dyDescent="0.2">
      <c r="A736" s="6"/>
      <c r="B736" s="7" t="s">
        <v>157</v>
      </c>
      <c r="C736" s="6"/>
      <c r="D736" s="31"/>
      <c r="E736" s="31"/>
      <c r="F736" s="31"/>
      <c r="G736" s="31"/>
      <c r="H736" s="31"/>
      <c r="I736" s="41"/>
      <c r="J736" s="31"/>
      <c r="K736" s="31"/>
      <c r="L736" s="31"/>
      <c r="M736" s="31"/>
      <c r="N736" s="31"/>
      <c r="O736" s="192"/>
    </row>
    <row r="737" spans="1:75" ht="38.25" x14ac:dyDescent="0.2">
      <c r="A737" s="6" t="s">
        <v>100</v>
      </c>
      <c r="B737" s="16" t="s">
        <v>175</v>
      </c>
      <c r="C737" s="6"/>
      <c r="D737" s="31"/>
      <c r="E737" s="31"/>
      <c r="F737" s="31"/>
      <c r="G737" s="31"/>
      <c r="H737" s="31"/>
      <c r="I737" s="41"/>
      <c r="J737" s="31"/>
      <c r="K737" s="31"/>
      <c r="L737" s="31"/>
      <c r="M737" s="31"/>
      <c r="N737" s="31"/>
      <c r="O737" s="192"/>
    </row>
    <row r="738" spans="1:75" hidden="1" x14ac:dyDescent="0.2">
      <c r="A738" s="6"/>
      <c r="B738" s="10" t="s">
        <v>91</v>
      </c>
      <c r="C738" s="6"/>
      <c r="D738" s="31"/>
      <c r="E738" s="31"/>
      <c r="F738" s="31"/>
      <c r="G738" s="31"/>
      <c r="H738" s="31"/>
      <c r="I738" s="41"/>
      <c r="J738" s="31"/>
      <c r="K738" s="31"/>
      <c r="L738" s="31"/>
      <c r="M738" s="31"/>
      <c r="N738" s="31"/>
      <c r="O738" s="192"/>
    </row>
    <row r="739" spans="1:75" hidden="1" x14ac:dyDescent="0.2">
      <c r="A739" s="6"/>
      <c r="B739" s="17" t="s">
        <v>92</v>
      </c>
      <c r="C739" s="6"/>
      <c r="D739" s="31"/>
      <c r="E739" s="31"/>
      <c r="F739" s="31"/>
      <c r="G739" s="31"/>
      <c r="H739" s="31"/>
      <c r="I739" s="41"/>
      <c r="J739" s="31"/>
      <c r="K739" s="31"/>
      <c r="L739" s="31"/>
      <c r="M739" s="31"/>
      <c r="N739" s="31"/>
      <c r="O739" s="192"/>
    </row>
    <row r="740" spans="1:75" x14ac:dyDescent="0.2">
      <c r="A740" s="6"/>
      <c r="B740" s="10" t="s">
        <v>280</v>
      </c>
      <c r="C740" s="6">
        <v>50</v>
      </c>
      <c r="D740" s="31">
        <v>61827</v>
      </c>
      <c r="E740" s="31">
        <f t="shared" ref="E740" si="440">C740*D740</f>
        <v>3091350</v>
      </c>
      <c r="F740" s="31">
        <f t="shared" ref="F740" si="441">ROUND((D740*10.47143%),0)</f>
        <v>6474</v>
      </c>
      <c r="G740" s="31">
        <f t="shared" ref="G740" si="442">ROUND((C740*F740),0)</f>
        <v>323700</v>
      </c>
      <c r="H740" s="31">
        <v>16551.61</v>
      </c>
      <c r="I740" s="41">
        <v>1.5940000000000001</v>
      </c>
      <c r="J740" s="31">
        <f t="shared" ref="J740" si="443">H740*I740</f>
        <v>26383.266340000002</v>
      </c>
      <c r="K740" s="31">
        <f t="shared" ref="K740" si="444">C740*J740</f>
        <v>1319163.317</v>
      </c>
      <c r="L740" s="31">
        <f t="shared" ref="L740:M740" si="445">D740+F740+J740</f>
        <v>94684.266340000002</v>
      </c>
      <c r="M740" s="31">
        <f t="shared" si="445"/>
        <v>4734213.3169999998</v>
      </c>
      <c r="N740" s="31"/>
      <c r="O740" s="192">
        <f t="shared" ref="O740" si="446">M740+N740</f>
        <v>4734213.3169999998</v>
      </c>
    </row>
    <row r="741" spans="1:75" hidden="1" x14ac:dyDescent="0.2">
      <c r="A741" s="6"/>
      <c r="B741" s="17" t="s">
        <v>157</v>
      </c>
      <c r="C741" s="6"/>
      <c r="D741" s="31"/>
      <c r="E741" s="31"/>
      <c r="F741" s="31"/>
      <c r="G741" s="31"/>
      <c r="H741" s="31"/>
      <c r="I741" s="41"/>
      <c r="J741" s="31"/>
      <c r="K741" s="31"/>
      <c r="L741" s="31"/>
      <c r="M741" s="31"/>
      <c r="N741" s="31"/>
      <c r="O741" s="192"/>
    </row>
    <row r="742" spans="1:75" ht="38.25" hidden="1" x14ac:dyDescent="0.2">
      <c r="A742" s="6" t="s">
        <v>101</v>
      </c>
      <c r="B742" s="103" t="s">
        <v>162</v>
      </c>
      <c r="C742" s="6"/>
      <c r="D742" s="31"/>
      <c r="E742" s="31"/>
      <c r="F742" s="31"/>
      <c r="G742" s="31"/>
      <c r="H742" s="31"/>
      <c r="I742" s="41"/>
      <c r="J742" s="31"/>
      <c r="K742" s="31"/>
      <c r="L742" s="31"/>
      <c r="M742" s="31"/>
      <c r="N742" s="31"/>
      <c r="O742" s="192"/>
    </row>
    <row r="743" spans="1:75" s="11" customFormat="1" x14ac:dyDescent="0.2">
      <c r="A743" s="4">
        <v>6</v>
      </c>
      <c r="B743" s="5" t="s">
        <v>170</v>
      </c>
      <c r="C743" s="4">
        <f>SUM(C744:C747)</f>
        <v>10</v>
      </c>
      <c r="D743" s="32"/>
      <c r="E743" s="32">
        <f>SUM(E744:E747)</f>
        <v>576170</v>
      </c>
      <c r="F743" s="31"/>
      <c r="G743" s="32">
        <f>SUM(G744:G747)</f>
        <v>60330</v>
      </c>
      <c r="H743" s="32"/>
      <c r="I743" s="47"/>
      <c r="J743" s="31"/>
      <c r="K743" s="32">
        <f>SUM(K744:K747)</f>
        <v>263832.66340000002</v>
      </c>
      <c r="L743" s="32"/>
      <c r="M743" s="32">
        <f>SUM(M744:M747)</f>
        <v>900332.66339999996</v>
      </c>
      <c r="N743" s="32"/>
      <c r="O743" s="190">
        <f>SUM(O744:O747)</f>
        <v>900332.66339999996</v>
      </c>
      <c r="P743" s="201"/>
      <c r="Q743" s="201"/>
      <c r="R743" s="201"/>
      <c r="S743" s="201"/>
      <c r="T743" s="201"/>
      <c r="U743" s="201"/>
      <c r="V743" s="201"/>
      <c r="W743" s="201"/>
      <c r="X743" s="201"/>
      <c r="Y743" s="201"/>
      <c r="Z743" s="201"/>
      <c r="AA743" s="201"/>
      <c r="AB743" s="201"/>
      <c r="AC743" s="201"/>
      <c r="AD743" s="201"/>
      <c r="AE743" s="201"/>
      <c r="AF743" s="201"/>
      <c r="AG743" s="201"/>
      <c r="AH743" s="201"/>
      <c r="AI743" s="201"/>
      <c r="AJ743" s="201"/>
      <c r="AK743" s="201"/>
      <c r="AL743" s="201"/>
      <c r="AM743" s="201"/>
      <c r="AN743" s="201"/>
      <c r="AO743" s="201"/>
      <c r="AP743" s="201"/>
      <c r="AQ743" s="201"/>
      <c r="AR743" s="201"/>
      <c r="AS743" s="201"/>
      <c r="AT743" s="201"/>
      <c r="AU743" s="201"/>
      <c r="AV743" s="201"/>
      <c r="AW743" s="201"/>
      <c r="AX743" s="201"/>
      <c r="AY743" s="201"/>
      <c r="AZ743" s="201"/>
      <c r="BA743" s="201"/>
      <c r="BB743" s="201"/>
      <c r="BC743" s="201"/>
      <c r="BD743" s="201"/>
      <c r="BE743" s="201"/>
      <c r="BF743" s="201"/>
      <c r="BG743" s="201"/>
      <c r="BH743" s="201"/>
      <c r="BI743" s="201"/>
      <c r="BJ743" s="201"/>
      <c r="BK743" s="201"/>
      <c r="BL743" s="201"/>
      <c r="BM743" s="201"/>
      <c r="BN743" s="201"/>
      <c r="BO743" s="201"/>
      <c r="BP743" s="201"/>
      <c r="BQ743" s="201"/>
      <c r="BR743" s="201"/>
      <c r="BS743" s="201"/>
      <c r="BT743" s="201"/>
      <c r="BU743" s="201"/>
      <c r="BV743" s="201"/>
      <c r="BW743" s="201"/>
    </row>
    <row r="744" spans="1:75" ht="25.5" x14ac:dyDescent="0.2">
      <c r="A744" s="6" t="s">
        <v>102</v>
      </c>
      <c r="B744" s="14" t="s">
        <v>166</v>
      </c>
      <c r="C744" s="6"/>
      <c r="D744" s="31"/>
      <c r="E744" s="31"/>
      <c r="F744" s="31"/>
      <c r="G744" s="31"/>
      <c r="H744" s="31"/>
      <c r="I744" s="41"/>
      <c r="J744" s="31"/>
      <c r="K744" s="31"/>
      <c r="L744" s="31"/>
      <c r="M744" s="31"/>
      <c r="N744" s="31"/>
      <c r="O744" s="192"/>
    </row>
    <row r="745" spans="1:75" hidden="1" x14ac:dyDescent="0.2">
      <c r="A745" s="6"/>
      <c r="B745" s="103" t="s">
        <v>91</v>
      </c>
      <c r="C745" s="6"/>
      <c r="D745" s="31"/>
      <c r="E745" s="31"/>
      <c r="F745" s="31"/>
      <c r="G745" s="31"/>
      <c r="H745" s="31"/>
      <c r="I745" s="41"/>
      <c r="J745" s="31"/>
      <c r="K745" s="31"/>
      <c r="L745" s="31"/>
      <c r="M745" s="31"/>
      <c r="N745" s="31"/>
      <c r="O745" s="192"/>
    </row>
    <row r="746" spans="1:75" hidden="1" x14ac:dyDescent="0.2">
      <c r="A746" s="6"/>
      <c r="B746" s="7" t="s">
        <v>92</v>
      </c>
      <c r="C746" s="6"/>
      <c r="D746" s="31"/>
      <c r="E746" s="31"/>
      <c r="F746" s="31"/>
      <c r="G746" s="31"/>
      <c r="H746" s="31"/>
      <c r="I746" s="41"/>
      <c r="J746" s="31"/>
      <c r="K746" s="31"/>
      <c r="L746" s="31"/>
      <c r="M746" s="31"/>
      <c r="N746" s="31"/>
      <c r="O746" s="192"/>
    </row>
    <row r="747" spans="1:75" x14ac:dyDescent="0.2">
      <c r="A747" s="6"/>
      <c r="B747" s="10" t="s">
        <v>280</v>
      </c>
      <c r="C747" s="6">
        <v>10</v>
      </c>
      <c r="D747" s="31">
        <v>57617</v>
      </c>
      <c r="E747" s="31">
        <f t="shared" ref="E747" si="447">C747*D747</f>
        <v>576170</v>
      </c>
      <c r="F747" s="31">
        <f t="shared" ref="F747" si="448">ROUND((D747*10.47143%),0)</f>
        <v>6033</v>
      </c>
      <c r="G747" s="31">
        <f t="shared" ref="G747" si="449">ROUND((C747*F747),0)</f>
        <v>60330</v>
      </c>
      <c r="H747" s="31">
        <v>16551.61</v>
      </c>
      <c r="I747" s="41">
        <v>1.5940000000000001</v>
      </c>
      <c r="J747" s="31">
        <f t="shared" ref="J747" si="450">H747*I747</f>
        <v>26383.266340000002</v>
      </c>
      <c r="K747" s="31">
        <f t="shared" ref="K747" si="451">C747*J747</f>
        <v>263832.66340000002</v>
      </c>
      <c r="L747" s="31">
        <f t="shared" ref="L747:M747" si="452">D747+F747+J747</f>
        <v>90033.266340000002</v>
      </c>
      <c r="M747" s="31">
        <f t="shared" si="452"/>
        <v>900332.66339999996</v>
      </c>
      <c r="N747" s="31"/>
      <c r="O747" s="192">
        <f t="shared" ref="O747" si="453">M747+N747</f>
        <v>900332.66339999996</v>
      </c>
    </row>
    <row r="748" spans="1:75" hidden="1" x14ac:dyDescent="0.2">
      <c r="A748" s="6"/>
      <c r="B748" s="7" t="s">
        <v>157</v>
      </c>
      <c r="C748" s="6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192"/>
    </row>
    <row r="749" spans="1:75" ht="38.25" hidden="1" x14ac:dyDescent="0.2">
      <c r="A749" s="6" t="s">
        <v>103</v>
      </c>
      <c r="B749" s="16" t="s">
        <v>175</v>
      </c>
      <c r="C749" s="6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192"/>
    </row>
    <row r="750" spans="1:75" hidden="1" x14ac:dyDescent="0.2">
      <c r="A750" s="6"/>
      <c r="B750" s="10" t="s">
        <v>91</v>
      </c>
      <c r="C750" s="6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192"/>
    </row>
    <row r="751" spans="1:75" hidden="1" x14ac:dyDescent="0.2">
      <c r="A751" s="6"/>
      <c r="B751" s="17" t="s">
        <v>92</v>
      </c>
      <c r="C751" s="6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192"/>
    </row>
    <row r="752" spans="1:75" hidden="1" x14ac:dyDescent="0.2">
      <c r="A752" s="6"/>
      <c r="B752" s="10" t="s">
        <v>156</v>
      </c>
      <c r="C752" s="6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192"/>
    </row>
    <row r="753" spans="1:75" hidden="1" x14ac:dyDescent="0.2">
      <c r="A753" s="6"/>
      <c r="B753" s="17" t="s">
        <v>157</v>
      </c>
      <c r="C753" s="6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192"/>
    </row>
    <row r="754" spans="1:75" ht="38.25" hidden="1" x14ac:dyDescent="0.2">
      <c r="A754" s="6" t="s">
        <v>104</v>
      </c>
      <c r="B754" s="103" t="s">
        <v>168</v>
      </c>
      <c r="C754" s="6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192"/>
    </row>
    <row r="755" spans="1:75" hidden="1" x14ac:dyDescent="0.2"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</row>
    <row r="756" spans="1:75" s="19" customFormat="1" x14ac:dyDescent="0.2">
      <c r="B756" s="18" t="s">
        <v>209</v>
      </c>
      <c r="C756" s="88">
        <f>C721+C731+C743</f>
        <v>216</v>
      </c>
      <c r="D756" s="48"/>
      <c r="E756" s="48">
        <f>E721+E731+E743</f>
        <v>11436755</v>
      </c>
      <c r="F756" s="48"/>
      <c r="G756" s="48">
        <f>G721+G731+G743</f>
        <v>1197541</v>
      </c>
      <c r="H756" s="48"/>
      <c r="I756" s="48"/>
      <c r="J756" s="48"/>
      <c r="K756" s="48">
        <f>K721+K731+K743</f>
        <v>5699983.9994399995</v>
      </c>
      <c r="L756" s="48"/>
      <c r="M756" s="48">
        <f>M721+M731+M743</f>
        <v>18334279.999439999</v>
      </c>
      <c r="N756" s="48">
        <v>172000</v>
      </c>
      <c r="O756" s="146">
        <f>M756+N756</f>
        <v>18506279.999439999</v>
      </c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8"/>
      <c r="BF756" s="138"/>
      <c r="BG756" s="138"/>
      <c r="BH756" s="138"/>
      <c r="BI756" s="138"/>
      <c r="BJ756" s="138"/>
      <c r="BK756" s="138"/>
      <c r="BL756" s="138"/>
      <c r="BM756" s="138"/>
      <c r="BN756" s="138"/>
      <c r="BO756" s="138"/>
      <c r="BP756" s="138"/>
      <c r="BQ756" s="138"/>
      <c r="BR756" s="138"/>
      <c r="BS756" s="138"/>
      <c r="BT756" s="138"/>
      <c r="BU756" s="138"/>
      <c r="BV756" s="138"/>
      <c r="BW756" s="138"/>
    </row>
    <row r="757" spans="1:75" s="11" customFormat="1" x14ac:dyDescent="0.2">
      <c r="A757" s="4" t="s">
        <v>172</v>
      </c>
      <c r="B757" s="18" t="s">
        <v>210</v>
      </c>
      <c r="C757" s="23">
        <f>SUM(C758:C764)</f>
        <v>86</v>
      </c>
      <c r="D757" s="37"/>
      <c r="E757" s="37">
        <f>SUM(E758:E764)</f>
        <v>4290858</v>
      </c>
      <c r="F757" s="37"/>
      <c r="G757" s="37">
        <f>SUM(G758:G764)</f>
        <v>449298</v>
      </c>
      <c r="H757" s="37"/>
      <c r="I757" s="37"/>
      <c r="J757" s="137"/>
      <c r="K757" s="37">
        <f>SUM(K758:K764)</f>
        <v>3196118.8380800006</v>
      </c>
      <c r="L757" s="37"/>
      <c r="M757" s="37">
        <f>SUM(M758:M764)</f>
        <v>7936274.838080002</v>
      </c>
      <c r="N757" s="37"/>
      <c r="O757" s="195">
        <f>SUM(O758:O764)</f>
        <v>7936274.838080002</v>
      </c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201"/>
      <c r="AB757" s="201"/>
      <c r="AC757" s="201"/>
      <c r="AD757" s="201"/>
      <c r="AE757" s="201"/>
      <c r="AF757" s="201"/>
      <c r="AG757" s="201"/>
      <c r="AH757" s="201"/>
      <c r="AI757" s="201"/>
      <c r="AJ757" s="201"/>
      <c r="AK757" s="201"/>
      <c r="AL757" s="201"/>
      <c r="AM757" s="201"/>
      <c r="AN757" s="201"/>
      <c r="AO757" s="201"/>
      <c r="AP757" s="201"/>
      <c r="AQ757" s="201"/>
      <c r="AR757" s="201"/>
      <c r="AS757" s="201"/>
      <c r="AT757" s="201"/>
      <c r="AU757" s="201"/>
      <c r="AV757" s="201"/>
      <c r="AW757" s="201"/>
      <c r="AX757" s="201"/>
      <c r="AY757" s="201"/>
      <c r="AZ757" s="201"/>
      <c r="BA757" s="201"/>
      <c r="BB757" s="201"/>
      <c r="BC757" s="201"/>
      <c r="BD757" s="201"/>
      <c r="BE757" s="201"/>
      <c r="BF757" s="201"/>
      <c r="BG757" s="201"/>
      <c r="BH757" s="201"/>
      <c r="BI757" s="201"/>
      <c r="BJ757" s="201"/>
      <c r="BK757" s="201"/>
      <c r="BL757" s="201"/>
      <c r="BM757" s="201"/>
      <c r="BN757" s="201"/>
      <c r="BO757" s="201"/>
      <c r="BP757" s="201"/>
      <c r="BQ757" s="201"/>
      <c r="BR757" s="201"/>
      <c r="BS757" s="201"/>
      <c r="BT757" s="201"/>
      <c r="BU757" s="201"/>
      <c r="BV757" s="201"/>
      <c r="BW757" s="201"/>
    </row>
    <row r="758" spans="1:75" ht="25.5" x14ac:dyDescent="0.2">
      <c r="A758" s="6" t="s">
        <v>96</v>
      </c>
      <c r="B758" s="16" t="s">
        <v>154</v>
      </c>
      <c r="C758" s="6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192"/>
    </row>
    <row r="759" spans="1:75" x14ac:dyDescent="0.2">
      <c r="A759" s="6"/>
      <c r="B759" s="10" t="s">
        <v>280</v>
      </c>
      <c r="C759" s="6">
        <v>25</v>
      </c>
      <c r="D759" s="31">
        <v>42278</v>
      </c>
      <c r="E759" s="31">
        <f t="shared" ref="E759" si="454">C759*D759</f>
        <v>1056950</v>
      </c>
      <c r="F759" s="31">
        <f t="shared" ref="F759:F761" si="455">ROUND((D759*10.47143%),0)</f>
        <v>4427</v>
      </c>
      <c r="G759" s="31">
        <f>ROUND((C759*F759),0)</f>
        <v>110675</v>
      </c>
      <c r="H759" s="31">
        <v>16551.61</v>
      </c>
      <c r="I759" s="41">
        <v>2.2480000000000002</v>
      </c>
      <c r="J759" s="31">
        <f t="shared" ref="J759:J761" si="456">H759*I759</f>
        <v>37208.019280000008</v>
      </c>
      <c r="K759" s="31">
        <f>C759*J759-3770.82</f>
        <v>926429.66200000024</v>
      </c>
      <c r="L759" s="31">
        <f t="shared" ref="L759:M761" si="457">D759+F759+J759</f>
        <v>83913.019280000008</v>
      </c>
      <c r="M759" s="31">
        <f t="shared" si="457"/>
        <v>2094054.6620000002</v>
      </c>
      <c r="N759" s="31"/>
      <c r="O759" s="192">
        <f t="shared" ref="O759:O761" si="458">M759+N759</f>
        <v>2094054.6620000002</v>
      </c>
    </row>
    <row r="760" spans="1:75" x14ac:dyDescent="0.2">
      <c r="A760" s="6"/>
      <c r="B760" s="103" t="s">
        <v>309</v>
      </c>
      <c r="C760" s="6">
        <v>26</v>
      </c>
      <c r="D760" s="31">
        <v>42278</v>
      </c>
      <c r="E760" s="31">
        <f>C760*D760</f>
        <v>1099228</v>
      </c>
      <c r="F760" s="31">
        <f t="shared" si="455"/>
        <v>4427</v>
      </c>
      <c r="G760" s="31">
        <f t="shared" ref="G760:G761" si="459">ROUND((C760*F760),0)</f>
        <v>115102</v>
      </c>
      <c r="H760" s="31">
        <v>16551.61</v>
      </c>
      <c r="I760" s="41">
        <v>2.2480000000000002</v>
      </c>
      <c r="J760" s="31">
        <f t="shared" si="456"/>
        <v>37208.019280000008</v>
      </c>
      <c r="K760" s="31">
        <f t="shared" ref="K760:K761" si="460">C760*J760</f>
        <v>967408.5012800002</v>
      </c>
      <c r="L760" s="31">
        <f t="shared" si="457"/>
        <v>83913.019280000008</v>
      </c>
      <c r="M760" s="31">
        <f t="shared" si="457"/>
        <v>2181738.5012800004</v>
      </c>
      <c r="N760" s="31"/>
      <c r="O760" s="192">
        <f t="shared" si="458"/>
        <v>2181738.5012800004</v>
      </c>
    </row>
    <row r="761" spans="1:75" x14ac:dyDescent="0.2">
      <c r="A761" s="6"/>
      <c r="B761" s="17" t="s">
        <v>305</v>
      </c>
      <c r="C761" s="6">
        <v>4</v>
      </c>
      <c r="D761" s="31">
        <v>155377</v>
      </c>
      <c r="E761" s="31">
        <f t="shared" ref="E761" si="461">C761*D761</f>
        <v>621508</v>
      </c>
      <c r="F761" s="31">
        <f t="shared" si="455"/>
        <v>16270</v>
      </c>
      <c r="G761" s="31">
        <f t="shared" si="459"/>
        <v>65080</v>
      </c>
      <c r="H761" s="31">
        <v>16551.61</v>
      </c>
      <c r="I761" s="41">
        <v>2.2480000000000002</v>
      </c>
      <c r="J761" s="31">
        <f t="shared" si="456"/>
        <v>37208.019280000008</v>
      </c>
      <c r="K761" s="31">
        <f t="shared" si="460"/>
        <v>148832.07712000003</v>
      </c>
      <c r="L761" s="31">
        <f t="shared" si="457"/>
        <v>208855.01928000001</v>
      </c>
      <c r="M761" s="31">
        <f t="shared" si="457"/>
        <v>835420.07712000003</v>
      </c>
      <c r="N761" s="31"/>
      <c r="O761" s="192">
        <f t="shared" si="458"/>
        <v>835420.07712000003</v>
      </c>
    </row>
    <row r="762" spans="1:75" hidden="1" x14ac:dyDescent="0.2">
      <c r="A762" s="6"/>
      <c r="B762" s="17" t="s">
        <v>92</v>
      </c>
      <c r="C762" s="6"/>
      <c r="D762" s="31"/>
      <c r="E762" s="31"/>
      <c r="F762" s="31"/>
      <c r="G762" s="31"/>
      <c r="H762" s="31"/>
      <c r="I762" s="41"/>
      <c r="J762" s="31"/>
      <c r="K762" s="31"/>
      <c r="L762" s="31"/>
      <c r="M762" s="31"/>
      <c r="N762" s="31"/>
      <c r="O762" s="192"/>
    </row>
    <row r="763" spans="1:75" ht="38.25" x14ac:dyDescent="0.2">
      <c r="A763" s="6" t="s">
        <v>97</v>
      </c>
      <c r="B763" s="16" t="s">
        <v>173</v>
      </c>
      <c r="C763" s="6"/>
      <c r="D763" s="31"/>
      <c r="E763" s="31"/>
      <c r="F763" s="31"/>
      <c r="G763" s="31"/>
      <c r="H763" s="31"/>
      <c r="I763" s="41"/>
      <c r="J763" s="31"/>
      <c r="K763" s="31"/>
      <c r="L763" s="31"/>
      <c r="M763" s="31"/>
      <c r="N763" s="31"/>
      <c r="O763" s="192"/>
    </row>
    <row r="764" spans="1:75" x14ac:dyDescent="0.2">
      <c r="A764" s="6"/>
      <c r="B764" s="10" t="s">
        <v>280</v>
      </c>
      <c r="C764" s="6">
        <v>31</v>
      </c>
      <c r="D764" s="31">
        <v>48812</v>
      </c>
      <c r="E764" s="31">
        <f>C764*D764</f>
        <v>1513172</v>
      </c>
      <c r="F764" s="31">
        <f t="shared" ref="F764" si="462">ROUND((D764*10.47143%),0)</f>
        <v>5111</v>
      </c>
      <c r="G764" s="31">
        <f t="shared" ref="G764" si="463">ROUND((C764*F764),0)</f>
        <v>158441</v>
      </c>
      <c r="H764" s="31">
        <v>16551.61</v>
      </c>
      <c r="I764" s="41">
        <v>2.2480000000000002</v>
      </c>
      <c r="J764" s="31">
        <f t="shared" ref="J764" si="464">H764*I764</f>
        <v>37208.019280000008</v>
      </c>
      <c r="K764" s="31">
        <f t="shared" ref="K764" si="465">C764*J764</f>
        <v>1153448.5976800001</v>
      </c>
      <c r="L764" s="31">
        <f t="shared" ref="L764:M764" si="466">D764+F764+J764</f>
        <v>91131.019280000008</v>
      </c>
      <c r="M764" s="31">
        <f t="shared" si="466"/>
        <v>2825061.5976800001</v>
      </c>
      <c r="N764" s="31"/>
      <c r="O764" s="192">
        <f t="shared" ref="O764" si="467">M764+N764</f>
        <v>2825061.5976800001</v>
      </c>
    </row>
    <row r="765" spans="1:75" hidden="1" x14ac:dyDescent="0.2">
      <c r="A765" s="6"/>
      <c r="B765" s="17" t="s">
        <v>92</v>
      </c>
      <c r="C765" s="6"/>
      <c r="D765" s="31"/>
      <c r="E765" s="31"/>
      <c r="F765" s="31"/>
      <c r="G765" s="31"/>
      <c r="H765" s="31"/>
      <c r="I765" s="41"/>
      <c r="J765" s="31"/>
      <c r="K765" s="31"/>
      <c r="L765" s="31"/>
      <c r="M765" s="31"/>
      <c r="N765" s="31"/>
      <c r="O765" s="192"/>
    </row>
    <row r="766" spans="1:75" hidden="1" x14ac:dyDescent="0.2">
      <c r="A766" s="6"/>
      <c r="B766" s="10" t="s">
        <v>156</v>
      </c>
      <c r="C766" s="6"/>
      <c r="D766" s="31"/>
      <c r="E766" s="31"/>
      <c r="F766" s="31"/>
      <c r="G766" s="31"/>
      <c r="H766" s="31"/>
      <c r="I766" s="41"/>
      <c r="J766" s="31"/>
      <c r="K766" s="31"/>
      <c r="L766" s="31"/>
      <c r="M766" s="31"/>
      <c r="N766" s="31"/>
      <c r="O766" s="192"/>
    </row>
    <row r="767" spans="1:75" hidden="1" x14ac:dyDescent="0.2">
      <c r="A767" s="6"/>
      <c r="B767" s="17" t="s">
        <v>157</v>
      </c>
      <c r="C767" s="6"/>
      <c r="D767" s="31"/>
      <c r="E767" s="31"/>
      <c r="F767" s="31"/>
      <c r="G767" s="31"/>
      <c r="H767" s="31"/>
      <c r="I767" s="41"/>
      <c r="J767" s="31"/>
      <c r="K767" s="31"/>
      <c r="L767" s="31"/>
      <c r="M767" s="31"/>
      <c r="N767" s="31"/>
      <c r="O767" s="192"/>
    </row>
    <row r="768" spans="1:75" ht="38.25" hidden="1" x14ac:dyDescent="0.2">
      <c r="A768" s="6" t="s">
        <v>98</v>
      </c>
      <c r="B768" s="16" t="s">
        <v>158</v>
      </c>
      <c r="C768" s="6"/>
      <c r="D768" s="31"/>
      <c r="E768" s="31"/>
      <c r="F768" s="31"/>
      <c r="G768" s="31"/>
      <c r="H768" s="31"/>
      <c r="I768" s="41"/>
      <c r="J768" s="31"/>
      <c r="K768" s="31"/>
      <c r="L768" s="31"/>
      <c r="M768" s="31"/>
      <c r="N768" s="31"/>
      <c r="O768" s="192"/>
    </row>
    <row r="769" spans="1:75" s="11" customFormat="1" x14ac:dyDescent="0.2">
      <c r="A769" s="4">
        <v>5</v>
      </c>
      <c r="B769" s="5" t="s">
        <v>174</v>
      </c>
      <c r="C769" s="4">
        <f>SUM(C770:C782)</f>
        <v>108</v>
      </c>
      <c r="D769" s="32"/>
      <c r="E769" s="32">
        <f>SUM(E770:E782)</f>
        <v>5896767</v>
      </c>
      <c r="F769" s="31"/>
      <c r="G769" s="32">
        <f>SUM(G770:G782)</f>
        <v>622350</v>
      </c>
      <c r="H769" s="32"/>
      <c r="I769" s="47"/>
      <c r="J769" s="31"/>
      <c r="K769" s="32">
        <f>SUM(K770:K782)</f>
        <v>4018466.0822400008</v>
      </c>
      <c r="L769" s="32"/>
      <c r="M769" s="32">
        <f>SUM(M770:M782)</f>
        <v>10537583.08224</v>
      </c>
      <c r="N769" s="32"/>
      <c r="O769" s="190">
        <f>SUM(O770:O782)</f>
        <v>10537583.08224</v>
      </c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1"/>
      <c r="AT769" s="201"/>
      <c r="AU769" s="201"/>
      <c r="AV769" s="201"/>
      <c r="AW769" s="201"/>
      <c r="AX769" s="201"/>
      <c r="AY769" s="201"/>
      <c r="AZ769" s="201"/>
      <c r="BA769" s="201"/>
      <c r="BB769" s="201"/>
      <c r="BC769" s="201"/>
      <c r="BD769" s="201"/>
      <c r="BE769" s="201"/>
      <c r="BF769" s="201"/>
      <c r="BG769" s="201"/>
      <c r="BH769" s="201"/>
      <c r="BI769" s="201"/>
      <c r="BJ769" s="201"/>
      <c r="BK769" s="201"/>
      <c r="BL769" s="201"/>
      <c r="BM769" s="201"/>
      <c r="BN769" s="201"/>
      <c r="BO769" s="201"/>
      <c r="BP769" s="201"/>
      <c r="BQ769" s="201"/>
      <c r="BR769" s="201"/>
      <c r="BS769" s="201"/>
      <c r="BT769" s="201"/>
      <c r="BU769" s="201"/>
      <c r="BV769" s="201"/>
      <c r="BW769" s="201"/>
    </row>
    <row r="770" spans="1:75" ht="25.5" x14ac:dyDescent="0.2">
      <c r="A770" s="6" t="s">
        <v>99</v>
      </c>
      <c r="B770" s="14" t="s">
        <v>160</v>
      </c>
      <c r="C770" s="6"/>
      <c r="D770" s="31"/>
      <c r="E770" s="31"/>
      <c r="F770" s="31"/>
      <c r="G770" s="31"/>
      <c r="H770" s="31"/>
      <c r="I770" s="41"/>
      <c r="J770" s="31"/>
      <c r="K770" s="31"/>
      <c r="L770" s="31"/>
      <c r="M770" s="31"/>
      <c r="N770" s="31"/>
      <c r="O770" s="192"/>
    </row>
    <row r="771" spans="1:75" x14ac:dyDescent="0.2">
      <c r="A771" s="6"/>
      <c r="B771" s="10" t="s">
        <v>280</v>
      </c>
      <c r="C771" s="6"/>
      <c r="D771" s="31"/>
      <c r="E771" s="31"/>
      <c r="F771" s="31"/>
      <c r="G771" s="31"/>
      <c r="H771" s="31"/>
      <c r="I771" s="41"/>
      <c r="J771" s="31"/>
      <c r="K771" s="31"/>
      <c r="L771" s="31"/>
      <c r="M771" s="31"/>
      <c r="N771" s="31"/>
      <c r="O771" s="192"/>
    </row>
    <row r="772" spans="1:75" x14ac:dyDescent="0.2">
      <c r="A772" s="6"/>
      <c r="B772" s="103" t="s">
        <v>309</v>
      </c>
      <c r="C772" s="6">
        <v>93</v>
      </c>
      <c r="D772" s="31">
        <v>53434</v>
      </c>
      <c r="E772" s="31">
        <f>C772*D772</f>
        <v>4969362</v>
      </c>
      <c r="F772" s="31">
        <f t="shared" ref="F772:F773" si="468">ROUND((D772*10.47143%),0)</f>
        <v>5595</v>
      </c>
      <c r="G772" s="31">
        <f t="shared" ref="G772:G773" si="469">ROUND((C772*F772),0)</f>
        <v>520335</v>
      </c>
      <c r="H772" s="31">
        <v>16551.61</v>
      </c>
      <c r="I772" s="41">
        <v>2.2480000000000002</v>
      </c>
      <c r="J772" s="31">
        <f t="shared" ref="J772:J773" si="470">H772*I772</f>
        <v>37208.019280000008</v>
      </c>
      <c r="K772" s="31">
        <f t="shared" ref="K772:K773" si="471">C772*J772</f>
        <v>3460345.7930400008</v>
      </c>
      <c r="L772" s="31">
        <f t="shared" ref="L772:M773" si="472">D772+F772+J772</f>
        <v>96237.019280000008</v>
      </c>
      <c r="M772" s="31">
        <f t="shared" si="472"/>
        <v>8950042.7930399999</v>
      </c>
      <c r="N772" s="31"/>
      <c r="O772" s="192">
        <f t="shared" ref="O772:O773" si="473">M772+N772</f>
        <v>8950042.7930399999</v>
      </c>
    </row>
    <row r="773" spans="1:75" x14ac:dyDescent="0.2">
      <c r="A773" s="6"/>
      <c r="B773" s="17" t="s">
        <v>305</v>
      </c>
      <c r="C773" s="6"/>
      <c r="D773" s="31">
        <v>178436</v>
      </c>
      <c r="E773" s="31">
        <f t="shared" ref="E773" si="474">C773*D773</f>
        <v>0</v>
      </c>
      <c r="F773" s="31">
        <f t="shared" si="468"/>
        <v>18685</v>
      </c>
      <c r="G773" s="31">
        <f t="shared" si="469"/>
        <v>0</v>
      </c>
      <c r="H773" s="31">
        <v>16551.61</v>
      </c>
      <c r="I773" s="41">
        <v>2.2480000000000002</v>
      </c>
      <c r="J773" s="31">
        <f t="shared" si="470"/>
        <v>37208.019280000008</v>
      </c>
      <c r="K773" s="31">
        <f t="shared" si="471"/>
        <v>0</v>
      </c>
      <c r="L773" s="31">
        <f t="shared" si="472"/>
        <v>234329.01928000001</v>
      </c>
      <c r="M773" s="31">
        <f t="shared" si="472"/>
        <v>0</v>
      </c>
      <c r="N773" s="31"/>
      <c r="O773" s="192">
        <f t="shared" si="473"/>
        <v>0</v>
      </c>
    </row>
    <row r="774" spans="1:75" hidden="1" x14ac:dyDescent="0.2">
      <c r="A774" s="6"/>
      <c r="B774" s="7" t="s">
        <v>92</v>
      </c>
      <c r="C774" s="6"/>
      <c r="D774" s="31"/>
      <c r="E774" s="31"/>
      <c r="F774" s="31"/>
      <c r="G774" s="31"/>
      <c r="H774" s="31"/>
      <c r="I774" s="41"/>
      <c r="J774" s="31"/>
      <c r="K774" s="31"/>
      <c r="L774" s="31"/>
      <c r="M774" s="31"/>
      <c r="N774" s="31"/>
      <c r="O774" s="192"/>
    </row>
    <row r="775" spans="1:75" hidden="1" x14ac:dyDescent="0.2">
      <c r="A775" s="6"/>
      <c r="B775" s="103" t="s">
        <v>156</v>
      </c>
      <c r="C775" s="6"/>
      <c r="D775" s="31"/>
      <c r="E775" s="31"/>
      <c r="F775" s="31"/>
      <c r="G775" s="31"/>
      <c r="H775" s="31"/>
      <c r="I775" s="41"/>
      <c r="J775" s="31"/>
      <c r="K775" s="31"/>
      <c r="L775" s="31"/>
      <c r="M775" s="31"/>
      <c r="N775" s="31"/>
      <c r="O775" s="192"/>
    </row>
    <row r="776" spans="1:75" hidden="1" x14ac:dyDescent="0.2">
      <c r="A776" s="6"/>
      <c r="B776" s="7" t="s">
        <v>157</v>
      </c>
      <c r="C776" s="6"/>
      <c r="D776" s="31"/>
      <c r="E776" s="31"/>
      <c r="F776" s="31"/>
      <c r="G776" s="31"/>
      <c r="H776" s="31"/>
      <c r="I776" s="41"/>
      <c r="J776" s="31"/>
      <c r="K776" s="31"/>
      <c r="L776" s="31"/>
      <c r="M776" s="31"/>
      <c r="N776" s="31"/>
      <c r="O776" s="192"/>
    </row>
    <row r="777" spans="1:75" ht="38.25" x14ac:dyDescent="0.2">
      <c r="A777" s="6" t="s">
        <v>100</v>
      </c>
      <c r="B777" s="16" t="s">
        <v>175</v>
      </c>
      <c r="C777" s="6"/>
      <c r="D777" s="31"/>
      <c r="E777" s="31"/>
      <c r="F777" s="31"/>
      <c r="G777" s="31"/>
      <c r="H777" s="31"/>
      <c r="I777" s="41"/>
      <c r="J777" s="31"/>
      <c r="K777" s="31"/>
      <c r="L777" s="31"/>
      <c r="M777" s="31"/>
      <c r="N777" s="31"/>
      <c r="O777" s="192"/>
    </row>
    <row r="778" spans="1:75" hidden="1" x14ac:dyDescent="0.2">
      <c r="A778" s="6"/>
      <c r="B778" s="10" t="s">
        <v>91</v>
      </c>
      <c r="C778" s="6"/>
      <c r="D778" s="31"/>
      <c r="E778" s="31"/>
      <c r="F778" s="31"/>
      <c r="G778" s="31"/>
      <c r="H778" s="31"/>
      <c r="I778" s="41"/>
      <c r="J778" s="31"/>
      <c r="K778" s="31"/>
      <c r="L778" s="31"/>
      <c r="M778" s="31"/>
      <c r="N778" s="31"/>
      <c r="O778" s="192"/>
    </row>
    <row r="779" spans="1:75" hidden="1" x14ac:dyDescent="0.2">
      <c r="A779" s="6"/>
      <c r="B779" s="17" t="s">
        <v>92</v>
      </c>
      <c r="C779" s="6"/>
      <c r="D779" s="31"/>
      <c r="E779" s="31"/>
      <c r="F779" s="31"/>
      <c r="G779" s="31"/>
      <c r="H779" s="31"/>
      <c r="I779" s="41"/>
      <c r="J779" s="31"/>
      <c r="K779" s="31"/>
      <c r="L779" s="31"/>
      <c r="M779" s="31"/>
      <c r="N779" s="31"/>
      <c r="O779" s="192"/>
    </row>
    <row r="780" spans="1:75" x14ac:dyDescent="0.2">
      <c r="A780" s="6"/>
      <c r="B780" s="10" t="s">
        <v>280</v>
      </c>
      <c r="C780" s="6">
        <v>15</v>
      </c>
      <c r="D780" s="31">
        <v>61827</v>
      </c>
      <c r="E780" s="31">
        <f t="shared" ref="E780" si="475">C780*D780</f>
        <v>927405</v>
      </c>
      <c r="F780" s="31">
        <f t="shared" ref="F780" si="476">ROUND((D780*11%),0)</f>
        <v>6801</v>
      </c>
      <c r="G780" s="31">
        <f t="shared" ref="G780" si="477">ROUND((C780*F780),0)</f>
        <v>102015</v>
      </c>
      <c r="H780" s="31">
        <v>16551.61</v>
      </c>
      <c r="I780" s="41">
        <v>2.2480000000000002</v>
      </c>
      <c r="J780" s="31">
        <f t="shared" ref="J780" si="478">H780*I780</f>
        <v>37208.019280000008</v>
      </c>
      <c r="K780" s="31">
        <f t="shared" ref="K780" si="479">C780*J780</f>
        <v>558120.28920000012</v>
      </c>
      <c r="L780" s="31">
        <f t="shared" ref="L780:M780" si="480">D780+F780+J780</f>
        <v>105836.01928000001</v>
      </c>
      <c r="M780" s="31">
        <f t="shared" si="480"/>
        <v>1587540.2892</v>
      </c>
      <c r="N780" s="31"/>
      <c r="O780" s="192">
        <f t="shared" ref="O780" si="481">M780+N780</f>
        <v>1587540.2892</v>
      </c>
    </row>
    <row r="781" spans="1:75" hidden="1" x14ac:dyDescent="0.2">
      <c r="A781" s="6"/>
      <c r="B781" s="17" t="s">
        <v>157</v>
      </c>
      <c r="C781" s="6"/>
      <c r="D781" s="31"/>
      <c r="E781" s="31"/>
      <c r="F781" s="31"/>
      <c r="G781" s="31"/>
      <c r="H781" s="31"/>
      <c r="I781" s="41"/>
      <c r="J781" s="31"/>
      <c r="K781" s="31"/>
      <c r="L781" s="31"/>
      <c r="M781" s="31"/>
      <c r="N781" s="31"/>
      <c r="O781" s="192"/>
    </row>
    <row r="782" spans="1:75" ht="38.25" x14ac:dyDescent="0.2">
      <c r="A782" s="6" t="s">
        <v>101</v>
      </c>
      <c r="B782" s="103" t="s">
        <v>162</v>
      </c>
      <c r="C782" s="6"/>
      <c r="D782" s="31"/>
      <c r="E782" s="31"/>
      <c r="F782" s="31"/>
      <c r="G782" s="31"/>
      <c r="H782" s="31"/>
      <c r="I782" s="41"/>
      <c r="J782" s="31"/>
      <c r="K782" s="31"/>
      <c r="L782" s="31"/>
      <c r="M782" s="31"/>
      <c r="N782" s="31"/>
      <c r="O782" s="192"/>
    </row>
    <row r="783" spans="1:75" s="11" customFormat="1" x14ac:dyDescent="0.2">
      <c r="A783" s="4">
        <v>6</v>
      </c>
      <c r="B783" s="5" t="s">
        <v>170</v>
      </c>
      <c r="C783" s="4">
        <f>SUM(C784:C794)</f>
        <v>4</v>
      </c>
      <c r="D783" s="32"/>
      <c r="E783" s="32">
        <f>SUM(E784:E794)</f>
        <v>230468</v>
      </c>
      <c r="F783" s="31"/>
      <c r="G783" s="32">
        <f>SUM(G784:G794)</f>
        <v>24132</v>
      </c>
      <c r="H783" s="32"/>
      <c r="I783" s="47"/>
      <c r="J783" s="31"/>
      <c r="K783" s="32">
        <f>SUM(K784:K794)</f>
        <v>148832.07712000003</v>
      </c>
      <c r="L783" s="32"/>
      <c r="M783" s="32">
        <f>SUM(M784:M794)</f>
        <v>403432.07712000003</v>
      </c>
      <c r="N783" s="32"/>
      <c r="O783" s="190">
        <f>SUM(O784:O794)</f>
        <v>403432.07712000003</v>
      </c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1"/>
      <c r="AT783" s="201"/>
      <c r="AU783" s="201"/>
      <c r="AV783" s="201"/>
      <c r="AW783" s="201"/>
      <c r="AX783" s="201"/>
      <c r="AY783" s="201"/>
      <c r="AZ783" s="201"/>
      <c r="BA783" s="201"/>
      <c r="BB783" s="201"/>
      <c r="BC783" s="201"/>
      <c r="BD783" s="201"/>
      <c r="BE783" s="201"/>
      <c r="BF783" s="201"/>
      <c r="BG783" s="201"/>
      <c r="BH783" s="201"/>
      <c r="BI783" s="201"/>
      <c r="BJ783" s="201"/>
      <c r="BK783" s="201"/>
      <c r="BL783" s="201"/>
      <c r="BM783" s="201"/>
      <c r="BN783" s="201"/>
      <c r="BO783" s="201"/>
      <c r="BP783" s="201"/>
      <c r="BQ783" s="201"/>
      <c r="BR783" s="201"/>
      <c r="BS783" s="201"/>
      <c r="BT783" s="201"/>
      <c r="BU783" s="201"/>
      <c r="BV783" s="201"/>
      <c r="BW783" s="201"/>
    </row>
    <row r="784" spans="1:75" ht="25.5" x14ac:dyDescent="0.2">
      <c r="A784" s="6" t="s">
        <v>102</v>
      </c>
      <c r="B784" s="14" t="s">
        <v>166</v>
      </c>
      <c r="C784" s="6"/>
      <c r="D784" s="31"/>
      <c r="E784" s="31"/>
      <c r="F784" s="31"/>
      <c r="G784" s="31"/>
      <c r="H784" s="31"/>
      <c r="I784" s="41"/>
      <c r="J784" s="31"/>
      <c r="K784" s="31"/>
      <c r="L784" s="31"/>
      <c r="M784" s="31"/>
      <c r="N784" s="31"/>
      <c r="O784" s="192"/>
    </row>
    <row r="785" spans="1:3087" hidden="1" x14ac:dyDescent="0.2">
      <c r="A785" s="6"/>
      <c r="B785" s="103" t="s">
        <v>91</v>
      </c>
      <c r="C785" s="6"/>
      <c r="D785" s="31"/>
      <c r="E785" s="31"/>
      <c r="F785" s="31"/>
      <c r="G785" s="31"/>
      <c r="H785" s="31"/>
      <c r="I785" s="41"/>
      <c r="J785" s="31"/>
      <c r="K785" s="31"/>
      <c r="L785" s="31"/>
      <c r="M785" s="31"/>
      <c r="N785" s="31"/>
      <c r="O785" s="192"/>
    </row>
    <row r="786" spans="1:3087" hidden="1" x14ac:dyDescent="0.2">
      <c r="A786" s="6"/>
      <c r="B786" s="7" t="s">
        <v>92</v>
      </c>
      <c r="C786" s="6"/>
      <c r="D786" s="31"/>
      <c r="E786" s="31"/>
      <c r="F786" s="31"/>
      <c r="G786" s="31"/>
      <c r="H786" s="31"/>
      <c r="I786" s="41"/>
      <c r="J786" s="31"/>
      <c r="K786" s="31"/>
      <c r="L786" s="31"/>
      <c r="M786" s="31"/>
      <c r="N786" s="31"/>
      <c r="O786" s="192"/>
    </row>
    <row r="787" spans="1:3087" x14ac:dyDescent="0.2">
      <c r="A787" s="6"/>
      <c r="B787" s="10" t="s">
        <v>280</v>
      </c>
      <c r="C787" s="6">
        <v>4</v>
      </c>
      <c r="D787" s="31">
        <v>57617</v>
      </c>
      <c r="E787" s="31">
        <f t="shared" ref="E787" si="482">C787*D787</f>
        <v>230468</v>
      </c>
      <c r="F787" s="31">
        <f t="shared" ref="F787" si="483">ROUND((D787*10.47143%),0)</f>
        <v>6033</v>
      </c>
      <c r="G787" s="31">
        <f t="shared" ref="G787" si="484">ROUND((C787*F787),0)</f>
        <v>24132</v>
      </c>
      <c r="H787" s="31">
        <v>16551.61</v>
      </c>
      <c r="I787" s="41">
        <v>2.2480000000000002</v>
      </c>
      <c r="J787" s="31">
        <f t="shared" ref="J787" si="485">H787*I787</f>
        <v>37208.019280000008</v>
      </c>
      <c r="K787" s="31">
        <f t="shared" ref="K787" si="486">C787*J787</f>
        <v>148832.07712000003</v>
      </c>
      <c r="L787" s="31">
        <f t="shared" ref="L787:M787" si="487">D787+F787+J787</f>
        <v>100858.01928000001</v>
      </c>
      <c r="M787" s="31">
        <f t="shared" si="487"/>
        <v>403432.07712000003</v>
      </c>
      <c r="N787" s="31"/>
      <c r="O787" s="192">
        <f t="shared" ref="O787" si="488">M787+N787</f>
        <v>403432.07712000003</v>
      </c>
    </row>
    <row r="788" spans="1:3087" hidden="1" x14ac:dyDescent="0.2">
      <c r="A788" s="6"/>
      <c r="B788" s="7" t="s">
        <v>157</v>
      </c>
      <c r="C788" s="6"/>
      <c r="D788" s="31"/>
      <c r="E788" s="31"/>
      <c r="F788" s="31"/>
      <c r="G788" s="31"/>
      <c r="H788" s="31"/>
      <c r="I788" s="41"/>
      <c r="J788" s="31"/>
      <c r="K788" s="31"/>
      <c r="L788" s="31"/>
      <c r="M788" s="31"/>
      <c r="N788" s="31"/>
      <c r="O788" s="192"/>
    </row>
    <row r="789" spans="1:3087" ht="38.25" hidden="1" x14ac:dyDescent="0.2">
      <c r="A789" s="6" t="s">
        <v>103</v>
      </c>
      <c r="B789" s="16" t="s">
        <v>175</v>
      </c>
      <c r="C789" s="6"/>
      <c r="D789" s="31"/>
      <c r="E789" s="31"/>
      <c r="F789" s="31"/>
      <c r="G789" s="31"/>
      <c r="H789" s="31"/>
      <c r="I789" s="41"/>
      <c r="J789" s="31"/>
      <c r="K789" s="31"/>
      <c r="L789" s="31"/>
      <c r="M789" s="31"/>
      <c r="N789" s="31"/>
      <c r="O789" s="192"/>
    </row>
    <row r="790" spans="1:3087" hidden="1" x14ac:dyDescent="0.2">
      <c r="A790" s="6"/>
      <c r="B790" s="10" t="s">
        <v>91</v>
      </c>
      <c r="C790" s="6"/>
      <c r="D790" s="31"/>
      <c r="E790" s="31"/>
      <c r="F790" s="31"/>
      <c r="G790" s="31"/>
      <c r="H790" s="31"/>
      <c r="I790" s="41"/>
      <c r="J790" s="31"/>
      <c r="K790" s="31"/>
      <c r="L790" s="31"/>
      <c r="M790" s="31"/>
      <c r="N790" s="31"/>
      <c r="O790" s="192"/>
    </row>
    <row r="791" spans="1:3087" hidden="1" x14ac:dyDescent="0.2">
      <c r="A791" s="6"/>
      <c r="B791" s="17" t="s">
        <v>92</v>
      </c>
      <c r="C791" s="6"/>
      <c r="D791" s="31"/>
      <c r="E791" s="31"/>
      <c r="F791" s="31"/>
      <c r="G791" s="31"/>
      <c r="H791" s="31"/>
      <c r="I791" s="41"/>
      <c r="J791" s="31"/>
      <c r="K791" s="31"/>
      <c r="L791" s="31"/>
      <c r="M791" s="31"/>
      <c r="N791" s="31"/>
      <c r="O791" s="192"/>
    </row>
    <row r="792" spans="1:3087" hidden="1" x14ac:dyDescent="0.2">
      <c r="A792" s="6"/>
      <c r="B792" s="10" t="s">
        <v>156</v>
      </c>
      <c r="C792" s="6"/>
      <c r="D792" s="31"/>
      <c r="E792" s="31"/>
      <c r="F792" s="31"/>
      <c r="G792" s="31"/>
      <c r="H792" s="31"/>
      <c r="I792" s="41"/>
      <c r="J792" s="31"/>
      <c r="K792" s="31"/>
      <c r="L792" s="31"/>
      <c r="M792" s="31"/>
      <c r="N792" s="31"/>
      <c r="O792" s="192"/>
    </row>
    <row r="793" spans="1:3087" hidden="1" x14ac:dyDescent="0.2">
      <c r="A793" s="6"/>
      <c r="B793" s="17" t="s">
        <v>157</v>
      </c>
      <c r="C793" s="6"/>
      <c r="D793" s="31"/>
      <c r="E793" s="31"/>
      <c r="F793" s="31"/>
      <c r="G793" s="31"/>
      <c r="H793" s="31"/>
      <c r="I793" s="41"/>
      <c r="J793" s="31"/>
      <c r="K793" s="31"/>
      <c r="L793" s="31"/>
      <c r="M793" s="31"/>
      <c r="N793" s="31"/>
      <c r="O793" s="192"/>
    </row>
    <row r="794" spans="1:3087" ht="38.25" x14ac:dyDescent="0.2">
      <c r="A794" s="21" t="s">
        <v>104</v>
      </c>
      <c r="B794" s="22" t="s">
        <v>168</v>
      </c>
      <c r="C794" s="21"/>
      <c r="D794" s="34"/>
      <c r="E794" s="34"/>
      <c r="F794" s="31"/>
      <c r="G794" s="34"/>
      <c r="H794" s="34"/>
      <c r="I794" s="74"/>
      <c r="J794" s="31"/>
      <c r="K794" s="34"/>
      <c r="L794" s="31"/>
      <c r="M794" s="31"/>
      <c r="N794" s="34"/>
      <c r="O794" s="193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  <c r="AR794" s="134"/>
      <c r="AS794" s="134"/>
      <c r="AT794" s="134"/>
      <c r="AU794" s="134"/>
      <c r="AV794" s="134"/>
      <c r="AW794" s="134"/>
      <c r="AX794" s="134"/>
      <c r="AY794" s="134"/>
      <c r="AZ794" s="134"/>
      <c r="BA794" s="134"/>
      <c r="BB794" s="134"/>
      <c r="BC794" s="134"/>
      <c r="BD794" s="134"/>
      <c r="BE794" s="134"/>
      <c r="BF794" s="134"/>
      <c r="BG794" s="134"/>
      <c r="BH794" s="134"/>
      <c r="BI794" s="134"/>
      <c r="BJ794" s="134"/>
      <c r="BK794" s="134"/>
      <c r="BL794" s="134"/>
      <c r="BM794" s="134"/>
      <c r="BN794" s="134"/>
      <c r="BO794" s="134"/>
      <c r="BP794" s="134"/>
      <c r="BQ794" s="134"/>
      <c r="BR794" s="134"/>
      <c r="BS794" s="134"/>
      <c r="BT794" s="134"/>
      <c r="BU794" s="134"/>
      <c r="BV794" s="134"/>
      <c r="BW794" s="134"/>
      <c r="BX794" s="134"/>
      <c r="BY794" s="134"/>
      <c r="BZ794" s="134"/>
      <c r="CA794" s="134"/>
      <c r="CB794" s="134"/>
      <c r="CC794" s="134"/>
      <c r="CD794" s="134"/>
      <c r="CE794" s="134"/>
      <c r="CF794" s="134"/>
      <c r="CG794" s="134"/>
      <c r="CH794" s="134"/>
      <c r="CI794" s="134"/>
      <c r="CJ794" s="134"/>
      <c r="CK794" s="134"/>
      <c r="CL794" s="134"/>
      <c r="CM794" s="134"/>
      <c r="CN794" s="134"/>
      <c r="CO794" s="134"/>
      <c r="CP794" s="134"/>
      <c r="CQ794" s="134"/>
      <c r="CR794" s="134"/>
      <c r="CS794" s="134"/>
      <c r="CT794" s="134"/>
      <c r="CU794" s="134"/>
      <c r="CV794" s="134"/>
      <c r="CW794" s="134"/>
      <c r="CX794" s="134"/>
      <c r="CY794" s="134"/>
      <c r="CZ794" s="134"/>
      <c r="DA794" s="134"/>
      <c r="DB794" s="134"/>
      <c r="DC794" s="134"/>
      <c r="DD794" s="134"/>
      <c r="DE794" s="134"/>
      <c r="DF794" s="134"/>
      <c r="DG794" s="134"/>
      <c r="DH794" s="134"/>
      <c r="DI794" s="134"/>
      <c r="DJ794" s="134"/>
      <c r="DK794" s="134"/>
      <c r="DL794" s="134"/>
      <c r="DM794" s="134"/>
      <c r="DN794" s="134"/>
      <c r="DO794" s="134"/>
      <c r="DP794" s="134"/>
      <c r="DQ794" s="134"/>
      <c r="DR794" s="134"/>
      <c r="DS794" s="134"/>
      <c r="DT794" s="134"/>
      <c r="DU794" s="134"/>
      <c r="DV794" s="134"/>
      <c r="DW794" s="134"/>
      <c r="DX794" s="134"/>
      <c r="DY794" s="134"/>
      <c r="DZ794" s="134"/>
      <c r="EA794" s="134"/>
      <c r="EB794" s="134"/>
      <c r="EC794" s="134"/>
      <c r="ED794" s="134"/>
      <c r="EE794" s="134"/>
      <c r="EF794" s="134"/>
      <c r="EG794" s="134"/>
      <c r="EH794" s="134"/>
      <c r="EI794" s="134"/>
      <c r="EJ794" s="134"/>
      <c r="EK794" s="134"/>
      <c r="EL794" s="134"/>
      <c r="EM794" s="134"/>
      <c r="EN794" s="134"/>
      <c r="EO794" s="134"/>
      <c r="EP794" s="134"/>
      <c r="EQ794" s="134"/>
      <c r="ER794" s="134"/>
      <c r="ES794" s="134"/>
      <c r="ET794" s="134"/>
      <c r="EU794" s="134"/>
      <c r="EV794" s="134"/>
      <c r="EW794" s="134"/>
      <c r="EX794" s="134"/>
      <c r="EY794" s="134"/>
      <c r="EZ794" s="134"/>
      <c r="FA794" s="134"/>
      <c r="FB794" s="134"/>
      <c r="FC794" s="134"/>
      <c r="FD794" s="134"/>
      <c r="FE794" s="134"/>
      <c r="FF794" s="134"/>
      <c r="FG794" s="134"/>
      <c r="FH794" s="134"/>
      <c r="FI794" s="134"/>
      <c r="FJ794" s="134"/>
      <c r="FK794" s="134"/>
      <c r="FL794" s="134"/>
      <c r="FM794" s="134"/>
      <c r="FN794" s="134"/>
      <c r="FO794" s="134"/>
      <c r="FP794" s="134"/>
      <c r="FQ794" s="134"/>
      <c r="FR794" s="134"/>
      <c r="FS794" s="134"/>
      <c r="FT794" s="134"/>
      <c r="FU794" s="134"/>
      <c r="FV794" s="134"/>
      <c r="FW794" s="134"/>
      <c r="FX794" s="134"/>
      <c r="FY794" s="134"/>
      <c r="FZ794" s="134"/>
      <c r="GA794" s="134"/>
      <c r="GB794" s="134"/>
      <c r="GC794" s="134"/>
      <c r="GD794" s="134"/>
      <c r="GE794" s="134"/>
      <c r="GF794" s="134"/>
      <c r="GG794" s="134"/>
      <c r="GH794" s="134"/>
      <c r="GI794" s="134"/>
      <c r="GJ794" s="134"/>
      <c r="GK794" s="134"/>
      <c r="GL794" s="134"/>
      <c r="GM794" s="134"/>
      <c r="GN794" s="134"/>
      <c r="GO794" s="134"/>
      <c r="GP794" s="134"/>
      <c r="GQ794" s="134"/>
      <c r="GR794" s="134"/>
      <c r="GS794" s="134"/>
      <c r="GT794" s="134"/>
      <c r="GU794" s="134"/>
      <c r="GV794" s="134"/>
      <c r="GW794" s="134"/>
      <c r="GX794" s="134"/>
      <c r="GY794" s="134"/>
      <c r="GZ794" s="134"/>
      <c r="HA794" s="134"/>
      <c r="HB794" s="134"/>
      <c r="HC794" s="134"/>
      <c r="HD794" s="134"/>
      <c r="HE794" s="134"/>
      <c r="HF794" s="134"/>
      <c r="HG794" s="134"/>
      <c r="HH794" s="134"/>
      <c r="HI794" s="134"/>
      <c r="HJ794" s="134"/>
      <c r="HK794" s="134"/>
      <c r="HL794" s="134"/>
      <c r="HM794" s="134"/>
      <c r="HN794" s="134"/>
      <c r="HO794" s="134"/>
      <c r="HP794" s="134"/>
      <c r="HQ794" s="134"/>
      <c r="HR794" s="134"/>
      <c r="HS794" s="134"/>
      <c r="HT794" s="134"/>
      <c r="HU794" s="134"/>
      <c r="HV794" s="134"/>
      <c r="HW794" s="134"/>
      <c r="HX794" s="134"/>
      <c r="HY794" s="134"/>
      <c r="HZ794" s="134"/>
      <c r="IA794" s="134"/>
      <c r="IB794" s="134"/>
      <c r="IC794" s="134"/>
      <c r="ID794" s="134"/>
      <c r="IE794" s="134"/>
      <c r="IF794" s="134"/>
      <c r="IG794" s="134"/>
      <c r="IH794" s="134"/>
      <c r="II794" s="134"/>
      <c r="IJ794" s="134"/>
      <c r="IK794" s="134"/>
      <c r="IL794" s="134"/>
      <c r="IM794" s="134"/>
      <c r="IN794" s="134"/>
      <c r="IO794" s="134"/>
      <c r="IP794" s="134"/>
      <c r="IQ794" s="134"/>
      <c r="IR794" s="134"/>
      <c r="IS794" s="134"/>
      <c r="IT794" s="134"/>
      <c r="IU794" s="134"/>
      <c r="IV794" s="134"/>
      <c r="IW794" s="134"/>
      <c r="IX794" s="134"/>
      <c r="IY794" s="134"/>
      <c r="IZ794" s="134"/>
      <c r="JA794" s="134"/>
      <c r="JB794" s="134"/>
      <c r="JC794" s="134"/>
      <c r="JD794" s="134"/>
      <c r="JE794" s="134"/>
      <c r="JF794" s="134"/>
      <c r="JG794" s="134"/>
      <c r="JH794" s="134"/>
      <c r="JI794" s="134"/>
      <c r="JJ794" s="134"/>
      <c r="JK794" s="134"/>
      <c r="JL794" s="134"/>
      <c r="JM794" s="134"/>
      <c r="JN794" s="134"/>
      <c r="JO794" s="134"/>
      <c r="JP794" s="134"/>
      <c r="JQ794" s="134"/>
      <c r="JR794" s="134"/>
      <c r="JS794" s="134"/>
      <c r="JT794" s="134"/>
      <c r="JU794" s="134"/>
      <c r="JV794" s="134"/>
      <c r="JW794" s="134"/>
      <c r="JX794" s="134"/>
      <c r="JY794" s="134"/>
      <c r="JZ794" s="134"/>
      <c r="KA794" s="134"/>
      <c r="KB794" s="134"/>
      <c r="KC794" s="134"/>
      <c r="KD794" s="134"/>
      <c r="KE794" s="134"/>
      <c r="KF794" s="134"/>
      <c r="KG794" s="134"/>
      <c r="KH794" s="134"/>
      <c r="KI794" s="134"/>
      <c r="KJ794" s="134"/>
      <c r="KK794" s="134"/>
      <c r="KL794" s="134"/>
      <c r="KM794" s="134"/>
      <c r="KN794" s="134"/>
      <c r="KO794" s="134"/>
      <c r="KP794" s="134"/>
      <c r="KQ794" s="134"/>
      <c r="KR794" s="134"/>
      <c r="KS794" s="134"/>
      <c r="KT794" s="134"/>
      <c r="KU794" s="134"/>
      <c r="KV794" s="134"/>
      <c r="KW794" s="134"/>
      <c r="KX794" s="134"/>
      <c r="KY794" s="134"/>
      <c r="KZ794" s="134"/>
      <c r="LA794" s="134"/>
      <c r="LB794" s="134"/>
      <c r="LC794" s="134"/>
      <c r="LD794" s="134"/>
      <c r="LE794" s="134"/>
      <c r="LF794" s="134"/>
      <c r="LG794" s="134"/>
      <c r="LH794" s="134"/>
      <c r="LI794" s="134"/>
      <c r="LJ794" s="134"/>
      <c r="LK794" s="134"/>
      <c r="LL794" s="134"/>
      <c r="LM794" s="134"/>
      <c r="LN794" s="134"/>
      <c r="LO794" s="134"/>
      <c r="LP794" s="134"/>
      <c r="LQ794" s="134"/>
      <c r="LR794" s="134"/>
      <c r="LS794" s="134"/>
      <c r="LT794" s="134"/>
      <c r="LU794" s="134"/>
      <c r="LV794" s="134"/>
      <c r="LW794" s="134"/>
      <c r="LX794" s="134"/>
      <c r="LY794" s="134"/>
      <c r="LZ794" s="134"/>
      <c r="MA794" s="134"/>
      <c r="MB794" s="134"/>
      <c r="MC794" s="134"/>
      <c r="MD794" s="134"/>
      <c r="ME794" s="134"/>
      <c r="MF794" s="134"/>
      <c r="MG794" s="134"/>
      <c r="MH794" s="134"/>
      <c r="MI794" s="134"/>
      <c r="MJ794" s="134"/>
      <c r="MK794" s="134"/>
      <c r="ML794" s="134"/>
      <c r="MM794" s="134"/>
      <c r="MN794" s="134"/>
      <c r="MO794" s="134"/>
      <c r="MP794" s="134"/>
      <c r="MQ794" s="134"/>
      <c r="MR794" s="134"/>
      <c r="MS794" s="134"/>
      <c r="MT794" s="134"/>
      <c r="MU794" s="134"/>
      <c r="MV794" s="134"/>
      <c r="MW794" s="134"/>
      <c r="MX794" s="134"/>
      <c r="MY794" s="134"/>
      <c r="MZ794" s="134"/>
      <c r="NA794" s="134"/>
      <c r="NB794" s="134"/>
      <c r="NC794" s="134"/>
      <c r="ND794" s="134"/>
      <c r="NE794" s="134"/>
      <c r="NF794" s="134"/>
      <c r="NG794" s="134"/>
      <c r="NH794" s="134"/>
      <c r="NI794" s="134"/>
      <c r="NJ794" s="134"/>
      <c r="NK794" s="134"/>
      <c r="NL794" s="134"/>
      <c r="NM794" s="134"/>
      <c r="NN794" s="134"/>
      <c r="NO794" s="134"/>
      <c r="NP794" s="134"/>
      <c r="NQ794" s="134"/>
      <c r="NR794" s="134"/>
      <c r="NS794" s="134"/>
      <c r="NT794" s="134"/>
      <c r="NU794" s="134"/>
      <c r="NV794" s="134"/>
      <c r="NW794" s="134"/>
      <c r="NX794" s="134"/>
      <c r="NY794" s="134"/>
      <c r="NZ794" s="134"/>
      <c r="OA794" s="134"/>
      <c r="OB794" s="134"/>
      <c r="OC794" s="134"/>
      <c r="OD794" s="134"/>
      <c r="OE794" s="134"/>
      <c r="OF794" s="134"/>
      <c r="OG794" s="134"/>
      <c r="OH794" s="134"/>
      <c r="OI794" s="134"/>
      <c r="OJ794" s="134"/>
      <c r="OK794" s="134"/>
      <c r="OL794" s="134"/>
      <c r="OM794" s="134"/>
      <c r="ON794" s="134"/>
      <c r="OO794" s="134"/>
      <c r="OP794" s="134"/>
      <c r="OQ794" s="134"/>
      <c r="OR794" s="134"/>
      <c r="OS794" s="134"/>
      <c r="OT794" s="134"/>
      <c r="OU794" s="134"/>
      <c r="OV794" s="134"/>
      <c r="OW794" s="134"/>
      <c r="OX794" s="134"/>
      <c r="OY794" s="134"/>
      <c r="OZ794" s="134"/>
      <c r="PA794" s="134"/>
      <c r="PB794" s="134"/>
      <c r="PC794" s="134"/>
      <c r="PD794" s="134"/>
      <c r="PE794" s="134"/>
      <c r="PF794" s="134"/>
      <c r="PG794" s="134"/>
      <c r="PH794" s="134"/>
      <c r="PI794" s="134"/>
      <c r="PJ794" s="134"/>
      <c r="PK794" s="134"/>
      <c r="PL794" s="134"/>
      <c r="PM794" s="134"/>
      <c r="PN794" s="134"/>
      <c r="PO794" s="134"/>
      <c r="PP794" s="134"/>
      <c r="PQ794" s="134"/>
      <c r="PR794" s="134"/>
      <c r="PS794" s="134"/>
      <c r="PT794" s="134"/>
      <c r="PU794" s="134"/>
      <c r="PV794" s="134"/>
      <c r="PW794" s="134"/>
      <c r="PX794" s="134"/>
      <c r="PY794" s="134"/>
      <c r="PZ794" s="134"/>
      <c r="QA794" s="134"/>
      <c r="QB794" s="134"/>
      <c r="QC794" s="134"/>
      <c r="QD794" s="134"/>
      <c r="QE794" s="134"/>
      <c r="QF794" s="134"/>
      <c r="QG794" s="134"/>
      <c r="QH794" s="134"/>
      <c r="QI794" s="134"/>
      <c r="QJ794" s="134"/>
      <c r="QK794" s="134"/>
      <c r="QL794" s="134"/>
      <c r="QM794" s="134"/>
      <c r="QN794" s="134"/>
      <c r="QO794" s="134"/>
      <c r="QP794" s="134"/>
      <c r="QQ794" s="134"/>
      <c r="QR794" s="134"/>
      <c r="QS794" s="134"/>
      <c r="QT794" s="134"/>
      <c r="QU794" s="134"/>
      <c r="QV794" s="134"/>
      <c r="QW794" s="134"/>
      <c r="QX794" s="134"/>
      <c r="QY794" s="134"/>
      <c r="QZ794" s="134"/>
      <c r="RA794" s="134"/>
      <c r="RB794" s="134"/>
      <c r="RC794" s="134"/>
      <c r="RD794" s="134"/>
      <c r="RE794" s="134"/>
      <c r="RF794" s="134"/>
      <c r="RG794" s="134"/>
      <c r="RH794" s="134"/>
      <c r="RI794" s="134"/>
      <c r="RJ794" s="134"/>
      <c r="RK794" s="134"/>
      <c r="RL794" s="134"/>
      <c r="RM794" s="134"/>
      <c r="RN794" s="134"/>
      <c r="RO794" s="134"/>
      <c r="RP794" s="134"/>
      <c r="RQ794" s="134"/>
      <c r="RR794" s="134"/>
      <c r="RS794" s="134"/>
      <c r="RT794" s="134"/>
      <c r="RU794" s="134"/>
      <c r="RV794" s="134"/>
      <c r="RW794" s="134"/>
      <c r="RX794" s="134"/>
      <c r="RY794" s="134"/>
      <c r="RZ794" s="134"/>
      <c r="SA794" s="134"/>
      <c r="SB794" s="134"/>
      <c r="SC794" s="134"/>
      <c r="SD794" s="134"/>
      <c r="SE794" s="134"/>
      <c r="SF794" s="134"/>
      <c r="SG794" s="134"/>
      <c r="SH794" s="134"/>
      <c r="SI794" s="134"/>
      <c r="SJ794" s="134"/>
      <c r="SK794" s="134"/>
      <c r="SL794" s="134"/>
      <c r="SM794" s="134"/>
      <c r="SN794" s="134"/>
      <c r="SO794" s="134"/>
      <c r="SP794" s="134"/>
      <c r="SQ794" s="134"/>
      <c r="SR794" s="134"/>
      <c r="SS794" s="134"/>
      <c r="ST794" s="134"/>
      <c r="SU794" s="134"/>
      <c r="SV794" s="134"/>
      <c r="SW794" s="134"/>
      <c r="SX794" s="134"/>
      <c r="SY794" s="134"/>
      <c r="SZ794" s="134"/>
      <c r="TA794" s="134"/>
      <c r="TB794" s="134"/>
      <c r="TC794" s="134"/>
      <c r="TD794" s="134"/>
      <c r="TE794" s="134"/>
      <c r="TF794" s="134"/>
      <c r="TG794" s="134"/>
      <c r="TH794" s="134"/>
      <c r="TI794" s="134"/>
      <c r="TJ794" s="134"/>
      <c r="TK794" s="134"/>
      <c r="TL794" s="134"/>
      <c r="TM794" s="134"/>
      <c r="TN794" s="134"/>
      <c r="TO794" s="134"/>
      <c r="TP794" s="134"/>
      <c r="TQ794" s="134"/>
      <c r="TR794" s="134"/>
      <c r="TS794" s="134"/>
      <c r="TT794" s="134"/>
      <c r="TU794" s="134"/>
      <c r="TV794" s="134"/>
      <c r="TW794" s="134"/>
      <c r="TX794" s="134"/>
      <c r="TY794" s="134"/>
      <c r="TZ794" s="134"/>
      <c r="UA794" s="134"/>
      <c r="UB794" s="134"/>
      <c r="UC794" s="134"/>
      <c r="UD794" s="134"/>
      <c r="UE794" s="134"/>
      <c r="UF794" s="134"/>
      <c r="UG794" s="134"/>
      <c r="UH794" s="134"/>
      <c r="UI794" s="134"/>
      <c r="UJ794" s="134"/>
      <c r="UK794" s="134"/>
      <c r="UL794" s="134"/>
      <c r="UM794" s="134"/>
      <c r="UN794" s="134"/>
      <c r="UO794" s="134"/>
      <c r="UP794" s="134"/>
      <c r="UQ794" s="134"/>
      <c r="UR794" s="134"/>
      <c r="US794" s="134"/>
      <c r="UT794" s="134"/>
      <c r="UU794" s="134"/>
      <c r="UV794" s="134"/>
      <c r="UW794" s="134"/>
      <c r="UX794" s="134"/>
      <c r="UY794" s="134"/>
      <c r="UZ794" s="134"/>
      <c r="VA794" s="134"/>
      <c r="VB794" s="134"/>
      <c r="VC794" s="134"/>
      <c r="VD794" s="134"/>
      <c r="VE794" s="134"/>
      <c r="VF794" s="134"/>
      <c r="VG794" s="134"/>
      <c r="VH794" s="134"/>
      <c r="VI794" s="134"/>
      <c r="VJ794" s="134"/>
      <c r="VK794" s="134"/>
      <c r="VL794" s="134"/>
      <c r="VM794" s="134"/>
      <c r="VN794" s="134"/>
      <c r="VO794" s="134"/>
      <c r="VP794" s="134"/>
      <c r="VQ794" s="134"/>
      <c r="VR794" s="134"/>
      <c r="VS794" s="134"/>
      <c r="VT794" s="134"/>
      <c r="VU794" s="134"/>
      <c r="VV794" s="134"/>
      <c r="VW794" s="134"/>
      <c r="VX794" s="134"/>
      <c r="VY794" s="134"/>
      <c r="VZ794" s="134"/>
      <c r="WA794" s="134"/>
      <c r="WB794" s="134"/>
      <c r="WC794" s="134"/>
      <c r="WD794" s="134"/>
      <c r="WE794" s="134"/>
      <c r="WF794" s="134"/>
      <c r="WG794" s="134"/>
      <c r="WH794" s="134"/>
      <c r="WI794" s="134"/>
      <c r="WJ794" s="134"/>
      <c r="WK794" s="134"/>
      <c r="WL794" s="134"/>
      <c r="WM794" s="134"/>
      <c r="WN794" s="134"/>
      <c r="WO794" s="134"/>
      <c r="WP794" s="134"/>
      <c r="WQ794" s="134"/>
      <c r="WR794" s="134"/>
      <c r="WS794" s="134"/>
      <c r="WT794" s="134"/>
      <c r="WU794" s="134"/>
      <c r="WV794" s="134"/>
      <c r="WW794" s="134"/>
      <c r="WX794" s="134"/>
      <c r="WY794" s="134"/>
      <c r="WZ794" s="134"/>
      <c r="XA794" s="134"/>
      <c r="XB794" s="134"/>
      <c r="XC794" s="134"/>
      <c r="XD794" s="134"/>
      <c r="XE794" s="134"/>
      <c r="XF794" s="134"/>
      <c r="XG794" s="134"/>
      <c r="XH794" s="134"/>
      <c r="XI794" s="134"/>
      <c r="XJ794" s="134"/>
      <c r="XK794" s="134"/>
      <c r="XL794" s="134"/>
      <c r="XM794" s="134"/>
      <c r="XN794" s="134"/>
      <c r="XO794" s="134"/>
      <c r="XP794" s="134"/>
      <c r="XQ794" s="134"/>
      <c r="XR794" s="134"/>
      <c r="XS794" s="134"/>
      <c r="XT794" s="134"/>
      <c r="XU794" s="134"/>
      <c r="XV794" s="134"/>
      <c r="XW794" s="134"/>
      <c r="XX794" s="134"/>
      <c r="XY794" s="134"/>
      <c r="XZ794" s="134"/>
      <c r="YA794" s="134"/>
      <c r="YB794" s="134"/>
      <c r="YC794" s="134"/>
      <c r="YD794" s="134"/>
      <c r="YE794" s="134"/>
      <c r="YF794" s="134"/>
      <c r="YG794" s="134"/>
      <c r="YH794" s="134"/>
      <c r="YI794" s="134"/>
      <c r="YJ794" s="134"/>
      <c r="YK794" s="134"/>
      <c r="YL794" s="134"/>
      <c r="YM794" s="134"/>
      <c r="YN794" s="134"/>
      <c r="YO794" s="134"/>
      <c r="YP794" s="134"/>
      <c r="YQ794" s="134"/>
      <c r="YR794" s="134"/>
      <c r="YS794" s="134"/>
      <c r="YT794" s="134"/>
      <c r="YU794" s="134"/>
      <c r="YV794" s="134"/>
      <c r="YW794" s="134"/>
      <c r="YX794" s="134"/>
      <c r="YY794" s="134"/>
      <c r="YZ794" s="134"/>
      <c r="ZA794" s="134"/>
      <c r="ZB794" s="134"/>
      <c r="ZC794" s="134"/>
      <c r="ZD794" s="134"/>
      <c r="ZE794" s="134"/>
      <c r="ZF794" s="134"/>
      <c r="ZG794" s="134"/>
      <c r="ZH794" s="134"/>
      <c r="ZI794" s="134"/>
      <c r="ZJ794" s="134"/>
      <c r="ZK794" s="134"/>
      <c r="ZL794" s="134"/>
      <c r="ZM794" s="134"/>
      <c r="ZN794" s="134"/>
      <c r="ZO794" s="134"/>
      <c r="ZP794" s="134"/>
      <c r="ZQ794" s="134"/>
      <c r="ZR794" s="134"/>
      <c r="ZS794" s="134"/>
      <c r="ZT794" s="134"/>
      <c r="ZU794" s="134"/>
      <c r="ZV794" s="134"/>
      <c r="ZW794" s="134"/>
      <c r="ZX794" s="134"/>
      <c r="ZY794" s="134"/>
      <c r="ZZ794" s="134"/>
      <c r="AAA794" s="134"/>
      <c r="AAB794" s="134"/>
      <c r="AAC794" s="134"/>
      <c r="AAD794" s="134"/>
      <c r="AAE794" s="134"/>
      <c r="AAF794" s="134"/>
      <c r="AAG794" s="134"/>
      <c r="AAH794" s="134"/>
      <c r="AAI794" s="134"/>
      <c r="AAJ794" s="134"/>
      <c r="AAK794" s="134"/>
      <c r="AAL794" s="134"/>
      <c r="AAM794" s="134"/>
      <c r="AAN794" s="134"/>
      <c r="AAO794" s="134"/>
      <c r="AAP794" s="134"/>
      <c r="AAQ794" s="134"/>
      <c r="AAR794" s="134"/>
      <c r="AAS794" s="134"/>
      <c r="AAT794" s="134"/>
      <c r="AAU794" s="134"/>
      <c r="AAV794" s="134"/>
      <c r="AAW794" s="134"/>
      <c r="AAX794" s="134"/>
      <c r="AAY794" s="134"/>
      <c r="AAZ794" s="134"/>
      <c r="ABA794" s="134"/>
      <c r="ABB794" s="134"/>
      <c r="ABC794" s="134"/>
      <c r="ABD794" s="134"/>
      <c r="ABE794" s="134"/>
      <c r="ABF794" s="134"/>
      <c r="ABG794" s="134"/>
      <c r="ABH794" s="134"/>
      <c r="ABI794" s="134"/>
      <c r="ABJ794" s="134"/>
      <c r="ABK794" s="134"/>
      <c r="ABL794" s="134"/>
      <c r="ABM794" s="134"/>
      <c r="ABN794" s="134"/>
      <c r="ABO794" s="134"/>
      <c r="ABP794" s="134"/>
      <c r="ABQ794" s="134"/>
      <c r="ABR794" s="134"/>
      <c r="ABS794" s="134"/>
      <c r="ABT794" s="134"/>
      <c r="ABU794" s="134"/>
      <c r="ABV794" s="134"/>
      <c r="ABW794" s="134"/>
      <c r="ABX794" s="134"/>
      <c r="ABY794" s="134"/>
      <c r="ABZ794" s="134"/>
      <c r="ACA794" s="134"/>
      <c r="ACB794" s="134"/>
      <c r="ACC794" s="134"/>
      <c r="ACD794" s="134"/>
      <c r="ACE794" s="134"/>
      <c r="ACF794" s="134"/>
      <c r="ACG794" s="134"/>
      <c r="ACH794" s="134"/>
      <c r="ACI794" s="134"/>
      <c r="ACJ794" s="134"/>
      <c r="ACK794" s="134"/>
      <c r="ACL794" s="134"/>
      <c r="ACM794" s="134"/>
      <c r="ACN794" s="134"/>
      <c r="ACO794" s="134"/>
      <c r="ACP794" s="134"/>
      <c r="ACQ794" s="134"/>
      <c r="ACR794" s="134"/>
      <c r="ACS794" s="134"/>
      <c r="ACT794" s="134"/>
      <c r="ACU794" s="134"/>
      <c r="ACV794" s="134"/>
      <c r="ACW794" s="134"/>
      <c r="ACX794" s="134"/>
      <c r="ACY794" s="134"/>
      <c r="ACZ794" s="134"/>
      <c r="ADA794" s="134"/>
      <c r="ADB794" s="134"/>
      <c r="ADC794" s="134"/>
      <c r="ADD794" s="134"/>
      <c r="ADE794" s="134"/>
      <c r="ADF794" s="134"/>
      <c r="ADG794" s="134"/>
      <c r="ADH794" s="134"/>
      <c r="ADI794" s="134"/>
      <c r="ADJ794" s="134"/>
      <c r="ADK794" s="134"/>
      <c r="ADL794" s="134"/>
      <c r="ADM794" s="134"/>
      <c r="ADN794" s="134"/>
      <c r="ADO794" s="134"/>
      <c r="ADP794" s="134"/>
      <c r="ADQ794" s="134"/>
      <c r="ADR794" s="134"/>
      <c r="ADS794" s="134"/>
      <c r="ADT794" s="134"/>
      <c r="ADU794" s="134"/>
      <c r="ADV794" s="134"/>
      <c r="ADW794" s="134"/>
      <c r="ADX794" s="134"/>
      <c r="ADY794" s="134"/>
      <c r="ADZ794" s="134"/>
      <c r="AEA794" s="134"/>
      <c r="AEB794" s="134"/>
      <c r="AEC794" s="134"/>
      <c r="AED794" s="134"/>
      <c r="AEE794" s="134"/>
      <c r="AEF794" s="134"/>
      <c r="AEG794" s="134"/>
      <c r="AEH794" s="134"/>
      <c r="AEI794" s="134"/>
      <c r="AEJ794" s="134"/>
      <c r="AEK794" s="134"/>
      <c r="AEL794" s="134"/>
      <c r="AEM794" s="134"/>
      <c r="AEN794" s="134"/>
      <c r="AEO794" s="134"/>
      <c r="AEP794" s="134"/>
      <c r="AEQ794" s="134"/>
      <c r="AER794" s="134"/>
      <c r="AES794" s="134"/>
      <c r="AET794" s="134"/>
      <c r="AEU794" s="134"/>
      <c r="AEV794" s="134"/>
      <c r="AEW794" s="134"/>
      <c r="AEX794" s="134"/>
      <c r="AEY794" s="134"/>
      <c r="AEZ794" s="134"/>
      <c r="AFA794" s="134"/>
      <c r="AFB794" s="134"/>
      <c r="AFC794" s="134"/>
      <c r="AFD794" s="134"/>
      <c r="AFE794" s="134"/>
      <c r="AFF794" s="134"/>
      <c r="AFG794" s="134"/>
      <c r="AFH794" s="134"/>
      <c r="AFI794" s="134"/>
      <c r="AFJ794" s="134"/>
      <c r="AFK794" s="134"/>
      <c r="AFL794" s="134"/>
      <c r="AFM794" s="134"/>
      <c r="AFN794" s="134"/>
      <c r="AFO794" s="134"/>
      <c r="AFP794" s="134"/>
      <c r="AFQ794" s="134"/>
      <c r="AFR794" s="134"/>
      <c r="AFS794" s="134"/>
      <c r="AFT794" s="134"/>
      <c r="AFU794" s="134"/>
      <c r="AFV794" s="134"/>
      <c r="AFW794" s="134"/>
      <c r="AFX794" s="134"/>
      <c r="AFY794" s="134"/>
      <c r="AFZ794" s="134"/>
      <c r="AGA794" s="134"/>
      <c r="AGB794" s="134"/>
      <c r="AGC794" s="134"/>
      <c r="AGD794" s="134"/>
      <c r="AGE794" s="134"/>
      <c r="AGF794" s="134"/>
      <c r="AGG794" s="134"/>
      <c r="AGH794" s="134"/>
      <c r="AGI794" s="134"/>
      <c r="AGJ794" s="134"/>
      <c r="AGK794" s="134"/>
      <c r="AGL794" s="134"/>
      <c r="AGM794" s="134"/>
      <c r="AGN794" s="134"/>
      <c r="AGO794" s="134"/>
      <c r="AGP794" s="134"/>
      <c r="AGQ794" s="134"/>
      <c r="AGR794" s="134"/>
      <c r="AGS794" s="134"/>
      <c r="AGT794" s="134"/>
      <c r="AGU794" s="134"/>
      <c r="AGV794" s="134"/>
      <c r="AGW794" s="134"/>
      <c r="AGX794" s="134"/>
      <c r="AGY794" s="134"/>
      <c r="AGZ794" s="134"/>
      <c r="AHA794" s="134"/>
      <c r="AHB794" s="134"/>
      <c r="AHC794" s="134"/>
      <c r="AHD794" s="134"/>
      <c r="AHE794" s="134"/>
      <c r="AHF794" s="134"/>
      <c r="AHG794" s="134"/>
      <c r="AHH794" s="134"/>
      <c r="AHI794" s="134"/>
      <c r="AHJ794" s="134"/>
      <c r="AHK794" s="134"/>
      <c r="AHL794" s="134"/>
      <c r="AHM794" s="134"/>
      <c r="AHN794" s="134"/>
      <c r="AHO794" s="134"/>
      <c r="AHP794" s="134"/>
      <c r="AHQ794" s="134"/>
      <c r="AHR794" s="134"/>
      <c r="AHS794" s="134"/>
      <c r="AHT794" s="134"/>
      <c r="AHU794" s="134"/>
      <c r="AHV794" s="134"/>
      <c r="AHW794" s="134"/>
      <c r="AHX794" s="134"/>
      <c r="AHY794" s="134"/>
      <c r="AHZ794" s="134"/>
      <c r="AIA794" s="134"/>
      <c r="AIB794" s="134"/>
      <c r="AIC794" s="134"/>
      <c r="AID794" s="134"/>
      <c r="AIE794" s="134"/>
      <c r="AIF794" s="134"/>
      <c r="AIG794" s="134"/>
      <c r="AIH794" s="134"/>
      <c r="AII794" s="134"/>
      <c r="AIJ794" s="134"/>
      <c r="AIK794" s="134"/>
      <c r="AIL794" s="134"/>
      <c r="AIM794" s="134"/>
      <c r="AIN794" s="134"/>
      <c r="AIO794" s="134"/>
      <c r="AIP794" s="134"/>
      <c r="AIQ794" s="134"/>
      <c r="AIR794" s="134"/>
      <c r="AIS794" s="134"/>
      <c r="AIT794" s="134"/>
      <c r="AIU794" s="134"/>
      <c r="AIV794" s="134"/>
      <c r="AIW794" s="134"/>
      <c r="AIX794" s="134"/>
      <c r="AIY794" s="134"/>
      <c r="AIZ794" s="134"/>
      <c r="AJA794" s="134"/>
      <c r="AJB794" s="134"/>
      <c r="AJC794" s="134"/>
      <c r="AJD794" s="134"/>
      <c r="AJE794" s="134"/>
      <c r="AJF794" s="134"/>
      <c r="AJG794" s="134"/>
      <c r="AJH794" s="134"/>
      <c r="AJI794" s="134"/>
      <c r="AJJ794" s="134"/>
      <c r="AJK794" s="134"/>
      <c r="AJL794" s="134"/>
      <c r="AJM794" s="134"/>
      <c r="AJN794" s="134"/>
      <c r="AJO794" s="134"/>
      <c r="AJP794" s="134"/>
      <c r="AJQ794" s="134"/>
      <c r="AJR794" s="134"/>
      <c r="AJS794" s="134"/>
      <c r="AJT794" s="134"/>
      <c r="AJU794" s="134"/>
      <c r="AJV794" s="134"/>
      <c r="AJW794" s="134"/>
      <c r="AJX794" s="134"/>
      <c r="AJY794" s="134"/>
      <c r="AJZ794" s="134"/>
      <c r="AKA794" s="134"/>
      <c r="AKB794" s="134"/>
      <c r="AKC794" s="134"/>
      <c r="AKD794" s="134"/>
      <c r="AKE794" s="134"/>
      <c r="AKF794" s="134"/>
      <c r="AKG794" s="134"/>
      <c r="AKH794" s="134"/>
      <c r="AKI794" s="134"/>
      <c r="AKJ794" s="134"/>
      <c r="AKK794" s="134"/>
      <c r="AKL794" s="134"/>
      <c r="AKM794" s="134"/>
      <c r="AKN794" s="134"/>
      <c r="AKO794" s="134"/>
      <c r="AKP794" s="134"/>
      <c r="AKQ794" s="134"/>
      <c r="AKR794" s="134"/>
      <c r="AKS794" s="134"/>
      <c r="AKT794" s="134"/>
      <c r="AKU794" s="134"/>
      <c r="AKV794" s="134"/>
      <c r="AKW794" s="134"/>
      <c r="AKX794" s="134"/>
      <c r="AKY794" s="134"/>
      <c r="AKZ794" s="134"/>
      <c r="ALA794" s="134"/>
      <c r="ALB794" s="134"/>
      <c r="ALC794" s="134"/>
      <c r="ALD794" s="134"/>
      <c r="ALE794" s="134"/>
      <c r="ALF794" s="134"/>
      <c r="ALG794" s="134"/>
      <c r="ALH794" s="134"/>
      <c r="ALI794" s="134"/>
      <c r="ALJ794" s="134"/>
      <c r="ALK794" s="134"/>
      <c r="ALL794" s="134"/>
      <c r="ALM794" s="134"/>
      <c r="ALN794" s="134"/>
      <c r="ALO794" s="134"/>
      <c r="ALP794" s="134"/>
      <c r="ALQ794" s="134"/>
      <c r="ALR794" s="134"/>
      <c r="ALS794" s="134"/>
      <c r="ALT794" s="134"/>
      <c r="ALU794" s="134"/>
      <c r="ALV794" s="134"/>
      <c r="ALW794" s="134"/>
      <c r="ALX794" s="134"/>
      <c r="ALY794" s="134"/>
      <c r="ALZ794" s="134"/>
      <c r="AMA794" s="134"/>
      <c r="AMB794" s="134"/>
      <c r="AMC794" s="134"/>
      <c r="AMD794" s="134"/>
      <c r="AME794" s="134"/>
      <c r="AMF794" s="134"/>
      <c r="AMG794" s="134"/>
      <c r="AMH794" s="134"/>
      <c r="AMI794" s="134"/>
      <c r="AMJ794" s="134"/>
      <c r="AMK794" s="134"/>
      <c r="AML794" s="134"/>
      <c r="AMM794" s="134"/>
      <c r="AMN794" s="134"/>
      <c r="AMO794" s="134"/>
      <c r="AMP794" s="134"/>
      <c r="AMQ794" s="134"/>
      <c r="AMR794" s="134"/>
      <c r="AMS794" s="134"/>
      <c r="AMT794" s="134"/>
      <c r="AMU794" s="134"/>
      <c r="AMV794" s="134"/>
      <c r="AMW794" s="134"/>
      <c r="AMX794" s="134"/>
      <c r="AMY794" s="134"/>
      <c r="AMZ794" s="134"/>
      <c r="ANA794" s="134"/>
      <c r="ANB794" s="134"/>
      <c r="ANC794" s="134"/>
      <c r="AND794" s="134"/>
      <c r="ANE794" s="134"/>
      <c r="ANF794" s="134"/>
      <c r="ANG794" s="134"/>
      <c r="ANH794" s="134"/>
      <c r="ANI794" s="134"/>
      <c r="ANJ794" s="134"/>
      <c r="ANK794" s="134"/>
      <c r="ANL794" s="134"/>
      <c r="ANM794" s="134"/>
      <c r="ANN794" s="134"/>
      <c r="ANO794" s="134"/>
      <c r="ANP794" s="134"/>
      <c r="ANQ794" s="134"/>
      <c r="ANR794" s="134"/>
      <c r="ANS794" s="134"/>
      <c r="ANT794" s="134"/>
      <c r="ANU794" s="134"/>
      <c r="ANV794" s="134"/>
      <c r="ANW794" s="134"/>
      <c r="ANX794" s="134"/>
      <c r="ANY794" s="134"/>
      <c r="ANZ794" s="134"/>
      <c r="AOA794" s="134"/>
      <c r="AOB794" s="134"/>
      <c r="AOC794" s="134"/>
      <c r="AOD794" s="134"/>
      <c r="AOE794" s="134"/>
      <c r="AOF794" s="134"/>
      <c r="AOG794" s="134"/>
      <c r="AOH794" s="134"/>
      <c r="AOI794" s="134"/>
      <c r="AOJ794" s="134"/>
      <c r="AOK794" s="134"/>
      <c r="AOL794" s="134"/>
      <c r="AOM794" s="134"/>
      <c r="AON794" s="134"/>
      <c r="AOO794" s="134"/>
      <c r="AOP794" s="134"/>
      <c r="AOQ794" s="134"/>
      <c r="AOR794" s="134"/>
      <c r="AOS794" s="134"/>
      <c r="AOT794" s="134"/>
      <c r="AOU794" s="134"/>
      <c r="AOV794" s="134"/>
      <c r="AOW794" s="134"/>
      <c r="AOX794" s="134"/>
      <c r="AOY794" s="134"/>
      <c r="AOZ794" s="134"/>
      <c r="APA794" s="134"/>
      <c r="APB794" s="134"/>
      <c r="APC794" s="134"/>
      <c r="APD794" s="134"/>
      <c r="APE794" s="134"/>
      <c r="APF794" s="134"/>
      <c r="APG794" s="134"/>
      <c r="APH794" s="134"/>
      <c r="API794" s="134"/>
      <c r="APJ794" s="134"/>
      <c r="APK794" s="134"/>
      <c r="APL794" s="134"/>
      <c r="APM794" s="134"/>
      <c r="APN794" s="134"/>
      <c r="APO794" s="134"/>
      <c r="APP794" s="134"/>
      <c r="APQ794" s="134"/>
      <c r="APR794" s="134"/>
      <c r="APS794" s="134"/>
      <c r="APT794" s="134"/>
      <c r="APU794" s="134"/>
      <c r="APV794" s="134"/>
      <c r="APW794" s="134"/>
      <c r="APX794" s="134"/>
      <c r="APY794" s="134"/>
      <c r="APZ794" s="134"/>
      <c r="AQA794" s="134"/>
      <c r="AQB794" s="134"/>
      <c r="AQC794" s="134"/>
      <c r="AQD794" s="134"/>
      <c r="AQE794" s="134"/>
      <c r="AQF794" s="134"/>
      <c r="AQG794" s="134"/>
      <c r="AQH794" s="134"/>
      <c r="AQI794" s="134"/>
      <c r="AQJ794" s="134"/>
      <c r="AQK794" s="134"/>
      <c r="AQL794" s="134"/>
      <c r="AQM794" s="134"/>
      <c r="AQN794" s="134"/>
      <c r="AQO794" s="134"/>
      <c r="AQP794" s="134"/>
      <c r="AQQ794" s="134"/>
      <c r="AQR794" s="134"/>
      <c r="AQS794" s="134"/>
      <c r="AQT794" s="134"/>
      <c r="AQU794" s="134"/>
      <c r="AQV794" s="134"/>
      <c r="AQW794" s="134"/>
      <c r="AQX794" s="134"/>
      <c r="AQY794" s="134"/>
      <c r="AQZ794" s="134"/>
      <c r="ARA794" s="134"/>
      <c r="ARB794" s="134"/>
      <c r="ARC794" s="134"/>
      <c r="ARD794" s="134"/>
      <c r="ARE794" s="134"/>
      <c r="ARF794" s="134"/>
      <c r="ARG794" s="134"/>
      <c r="ARH794" s="134"/>
      <c r="ARI794" s="134"/>
      <c r="ARJ794" s="134"/>
      <c r="ARK794" s="134"/>
      <c r="ARL794" s="134"/>
      <c r="ARM794" s="134"/>
      <c r="ARN794" s="134"/>
      <c r="ARO794" s="134"/>
      <c r="ARP794" s="134"/>
      <c r="ARQ794" s="134"/>
      <c r="ARR794" s="134"/>
      <c r="ARS794" s="134"/>
      <c r="ART794" s="134"/>
      <c r="ARU794" s="134"/>
      <c r="ARV794" s="134"/>
      <c r="ARW794" s="134"/>
      <c r="ARX794" s="134"/>
      <c r="ARY794" s="134"/>
      <c r="ARZ794" s="134"/>
      <c r="ASA794" s="134"/>
      <c r="ASB794" s="134"/>
      <c r="ASC794" s="134"/>
      <c r="ASD794" s="134"/>
      <c r="ASE794" s="134"/>
      <c r="ASF794" s="134"/>
      <c r="ASG794" s="134"/>
      <c r="ASH794" s="134"/>
      <c r="ASI794" s="134"/>
      <c r="ASJ794" s="134"/>
      <c r="ASK794" s="134"/>
      <c r="ASL794" s="134"/>
      <c r="ASM794" s="134"/>
      <c r="ASN794" s="134"/>
      <c r="ASO794" s="134"/>
      <c r="ASP794" s="134"/>
      <c r="ASQ794" s="134"/>
      <c r="ASR794" s="134"/>
      <c r="ASS794" s="134"/>
      <c r="AST794" s="134"/>
      <c r="ASU794" s="134"/>
      <c r="ASV794" s="134"/>
      <c r="ASW794" s="134"/>
      <c r="ASX794" s="134"/>
      <c r="ASY794" s="134"/>
      <c r="ASZ794" s="134"/>
      <c r="ATA794" s="134"/>
      <c r="ATB794" s="134"/>
      <c r="ATC794" s="134"/>
      <c r="ATD794" s="134"/>
      <c r="ATE794" s="134"/>
      <c r="ATF794" s="134"/>
      <c r="ATG794" s="134"/>
      <c r="ATH794" s="134"/>
      <c r="ATI794" s="134"/>
      <c r="ATJ794" s="134"/>
      <c r="ATK794" s="134"/>
      <c r="ATL794" s="134"/>
      <c r="ATM794" s="134"/>
      <c r="ATN794" s="134"/>
      <c r="ATO794" s="134"/>
      <c r="ATP794" s="134"/>
      <c r="ATQ794" s="134"/>
      <c r="ATR794" s="134"/>
      <c r="ATS794" s="134"/>
      <c r="ATT794" s="134"/>
      <c r="ATU794" s="134"/>
      <c r="ATV794" s="134"/>
      <c r="ATW794" s="134"/>
      <c r="ATX794" s="134"/>
      <c r="ATY794" s="134"/>
      <c r="ATZ794" s="134"/>
      <c r="AUA794" s="134"/>
      <c r="AUB794" s="134"/>
      <c r="AUC794" s="134"/>
      <c r="AUD794" s="134"/>
      <c r="AUE794" s="134"/>
      <c r="AUF794" s="134"/>
      <c r="AUG794" s="134"/>
      <c r="AUH794" s="134"/>
      <c r="AUI794" s="134"/>
      <c r="AUJ794" s="134"/>
      <c r="AUK794" s="134"/>
      <c r="AUL794" s="134"/>
      <c r="AUM794" s="134"/>
      <c r="AUN794" s="134"/>
      <c r="AUO794" s="134"/>
      <c r="AUP794" s="134"/>
      <c r="AUQ794" s="134"/>
      <c r="AUR794" s="134"/>
      <c r="AUS794" s="134"/>
      <c r="AUT794" s="134"/>
      <c r="AUU794" s="134"/>
      <c r="AUV794" s="134"/>
      <c r="AUW794" s="134"/>
      <c r="AUX794" s="134"/>
      <c r="AUY794" s="134"/>
      <c r="AUZ794" s="134"/>
      <c r="AVA794" s="134"/>
      <c r="AVB794" s="134"/>
      <c r="AVC794" s="134"/>
      <c r="AVD794" s="134"/>
      <c r="AVE794" s="134"/>
      <c r="AVF794" s="134"/>
      <c r="AVG794" s="134"/>
      <c r="AVH794" s="134"/>
      <c r="AVI794" s="134"/>
      <c r="AVJ794" s="134"/>
      <c r="AVK794" s="134"/>
      <c r="AVL794" s="134"/>
      <c r="AVM794" s="134"/>
      <c r="AVN794" s="134"/>
      <c r="AVO794" s="134"/>
      <c r="AVP794" s="134"/>
      <c r="AVQ794" s="134"/>
      <c r="AVR794" s="134"/>
      <c r="AVS794" s="134"/>
      <c r="AVT794" s="134"/>
      <c r="AVU794" s="134"/>
      <c r="AVV794" s="134"/>
      <c r="AVW794" s="134"/>
      <c r="AVX794" s="134"/>
      <c r="AVY794" s="134"/>
      <c r="AVZ794" s="134"/>
      <c r="AWA794" s="134"/>
      <c r="AWB794" s="134"/>
      <c r="AWC794" s="134"/>
      <c r="AWD794" s="134"/>
      <c r="AWE794" s="134"/>
      <c r="AWF794" s="134"/>
      <c r="AWG794" s="134"/>
      <c r="AWH794" s="134"/>
      <c r="AWI794" s="134"/>
      <c r="AWJ794" s="134"/>
      <c r="AWK794" s="134"/>
      <c r="AWL794" s="134"/>
      <c r="AWM794" s="134"/>
      <c r="AWN794" s="134"/>
      <c r="AWO794" s="134"/>
      <c r="AWP794" s="134"/>
      <c r="AWQ794" s="134"/>
      <c r="AWR794" s="134"/>
      <c r="AWS794" s="134"/>
      <c r="AWT794" s="134"/>
      <c r="AWU794" s="134"/>
      <c r="AWV794" s="134"/>
      <c r="AWW794" s="134"/>
      <c r="AWX794" s="134"/>
      <c r="AWY794" s="134"/>
      <c r="AWZ794" s="134"/>
      <c r="AXA794" s="134"/>
      <c r="AXB794" s="134"/>
      <c r="AXC794" s="134"/>
      <c r="AXD794" s="134"/>
      <c r="AXE794" s="134"/>
      <c r="AXF794" s="134"/>
      <c r="AXG794" s="134"/>
      <c r="AXH794" s="134"/>
      <c r="AXI794" s="134"/>
      <c r="AXJ794" s="134"/>
      <c r="AXK794" s="134"/>
      <c r="AXL794" s="134"/>
      <c r="AXM794" s="134"/>
      <c r="AXN794" s="134"/>
      <c r="AXO794" s="134"/>
      <c r="AXP794" s="134"/>
      <c r="AXQ794" s="134"/>
      <c r="AXR794" s="134"/>
      <c r="AXS794" s="134"/>
      <c r="AXT794" s="134"/>
      <c r="AXU794" s="134"/>
      <c r="AXV794" s="134"/>
      <c r="AXW794" s="134"/>
      <c r="AXX794" s="134"/>
      <c r="AXY794" s="134"/>
      <c r="AXZ794" s="134"/>
      <c r="AYA794" s="134"/>
      <c r="AYB794" s="134"/>
      <c r="AYC794" s="134"/>
      <c r="AYD794" s="134"/>
      <c r="AYE794" s="134"/>
      <c r="AYF794" s="134"/>
      <c r="AYG794" s="134"/>
      <c r="AYH794" s="134"/>
      <c r="AYI794" s="134"/>
      <c r="AYJ794" s="134"/>
      <c r="AYK794" s="134"/>
      <c r="AYL794" s="134"/>
      <c r="AYM794" s="134"/>
      <c r="AYN794" s="134"/>
      <c r="AYO794" s="134"/>
      <c r="AYP794" s="134"/>
      <c r="AYQ794" s="134"/>
      <c r="AYR794" s="134"/>
      <c r="AYS794" s="134"/>
      <c r="AYT794" s="134"/>
      <c r="AYU794" s="134"/>
      <c r="AYV794" s="134"/>
      <c r="AYW794" s="134"/>
      <c r="AYX794" s="134"/>
      <c r="AYY794" s="134"/>
      <c r="AYZ794" s="134"/>
      <c r="AZA794" s="134"/>
      <c r="AZB794" s="134"/>
      <c r="AZC794" s="134"/>
      <c r="AZD794" s="134"/>
      <c r="AZE794" s="134"/>
      <c r="AZF794" s="134"/>
      <c r="AZG794" s="134"/>
      <c r="AZH794" s="134"/>
      <c r="AZI794" s="134"/>
      <c r="AZJ794" s="134"/>
      <c r="AZK794" s="134"/>
      <c r="AZL794" s="134"/>
      <c r="AZM794" s="134"/>
      <c r="AZN794" s="134"/>
      <c r="AZO794" s="134"/>
      <c r="AZP794" s="134"/>
      <c r="AZQ794" s="134"/>
      <c r="AZR794" s="134"/>
      <c r="AZS794" s="134"/>
      <c r="AZT794" s="134"/>
      <c r="AZU794" s="134"/>
      <c r="AZV794" s="134"/>
      <c r="AZW794" s="134"/>
      <c r="AZX794" s="134"/>
      <c r="AZY794" s="134"/>
      <c r="AZZ794" s="134"/>
      <c r="BAA794" s="134"/>
      <c r="BAB794" s="134"/>
      <c r="BAC794" s="134"/>
      <c r="BAD794" s="134"/>
      <c r="BAE794" s="134"/>
      <c r="BAF794" s="134"/>
      <c r="BAG794" s="134"/>
      <c r="BAH794" s="134"/>
      <c r="BAI794" s="134"/>
      <c r="BAJ794" s="134"/>
      <c r="BAK794" s="134"/>
      <c r="BAL794" s="134"/>
      <c r="BAM794" s="134"/>
      <c r="BAN794" s="134"/>
      <c r="BAO794" s="134"/>
      <c r="BAP794" s="134"/>
      <c r="BAQ794" s="134"/>
      <c r="BAR794" s="134"/>
      <c r="BAS794" s="134"/>
      <c r="BAT794" s="134"/>
      <c r="BAU794" s="134"/>
      <c r="BAV794" s="134"/>
      <c r="BAW794" s="134"/>
      <c r="BAX794" s="134"/>
      <c r="BAY794" s="134"/>
      <c r="BAZ794" s="134"/>
      <c r="BBA794" s="134"/>
      <c r="BBB794" s="134"/>
      <c r="BBC794" s="134"/>
      <c r="BBD794" s="134"/>
      <c r="BBE794" s="134"/>
      <c r="BBF794" s="134"/>
      <c r="BBG794" s="134"/>
      <c r="BBH794" s="134"/>
      <c r="BBI794" s="134"/>
      <c r="BBJ794" s="134"/>
      <c r="BBK794" s="134"/>
      <c r="BBL794" s="134"/>
      <c r="BBM794" s="134"/>
      <c r="BBN794" s="134"/>
      <c r="BBO794" s="134"/>
      <c r="BBP794" s="134"/>
      <c r="BBQ794" s="134"/>
      <c r="BBR794" s="134"/>
      <c r="BBS794" s="134"/>
      <c r="BBT794" s="134"/>
      <c r="BBU794" s="134"/>
      <c r="BBV794" s="134"/>
      <c r="BBW794" s="134"/>
      <c r="BBX794" s="134"/>
      <c r="BBY794" s="134"/>
      <c r="BBZ794" s="134"/>
      <c r="BCA794" s="134"/>
      <c r="BCB794" s="134"/>
      <c r="BCC794" s="134"/>
      <c r="BCD794" s="134"/>
      <c r="BCE794" s="134"/>
      <c r="BCF794" s="134"/>
      <c r="BCG794" s="134"/>
      <c r="BCH794" s="134"/>
      <c r="BCI794" s="134"/>
      <c r="BCJ794" s="134"/>
      <c r="BCK794" s="134"/>
      <c r="BCL794" s="134"/>
      <c r="BCM794" s="134"/>
      <c r="BCN794" s="134"/>
      <c r="BCO794" s="134"/>
      <c r="BCP794" s="134"/>
      <c r="BCQ794" s="134"/>
      <c r="BCR794" s="134"/>
      <c r="BCS794" s="134"/>
      <c r="BCT794" s="134"/>
      <c r="BCU794" s="134"/>
      <c r="BCV794" s="134"/>
      <c r="BCW794" s="134"/>
      <c r="BCX794" s="134"/>
      <c r="BCY794" s="134"/>
      <c r="BCZ794" s="134"/>
      <c r="BDA794" s="134"/>
      <c r="BDB794" s="134"/>
      <c r="BDC794" s="134"/>
      <c r="BDD794" s="134"/>
      <c r="BDE794" s="134"/>
      <c r="BDF794" s="134"/>
      <c r="BDG794" s="134"/>
      <c r="BDH794" s="134"/>
      <c r="BDI794" s="134"/>
      <c r="BDJ794" s="134"/>
      <c r="BDK794" s="134"/>
      <c r="BDL794" s="134"/>
      <c r="BDM794" s="134"/>
      <c r="BDN794" s="134"/>
      <c r="BDO794" s="134"/>
      <c r="BDP794" s="134"/>
      <c r="BDQ794" s="134"/>
      <c r="BDR794" s="134"/>
      <c r="BDS794" s="134"/>
      <c r="BDT794" s="134"/>
      <c r="BDU794" s="134"/>
      <c r="BDV794" s="134"/>
      <c r="BDW794" s="134"/>
      <c r="BDX794" s="134"/>
      <c r="BDY794" s="134"/>
      <c r="BDZ794" s="134"/>
      <c r="BEA794" s="134"/>
      <c r="BEB794" s="134"/>
      <c r="BEC794" s="134"/>
      <c r="BED794" s="134"/>
      <c r="BEE794" s="134"/>
      <c r="BEF794" s="134"/>
      <c r="BEG794" s="134"/>
      <c r="BEH794" s="134"/>
      <c r="BEI794" s="134"/>
      <c r="BEJ794" s="134"/>
      <c r="BEK794" s="134"/>
      <c r="BEL794" s="134"/>
      <c r="BEM794" s="134"/>
      <c r="BEN794" s="134"/>
      <c r="BEO794" s="134"/>
      <c r="BEP794" s="134"/>
      <c r="BEQ794" s="134"/>
      <c r="BER794" s="134"/>
      <c r="BES794" s="134"/>
      <c r="BET794" s="134"/>
      <c r="BEU794" s="134"/>
      <c r="BEV794" s="134"/>
      <c r="BEW794" s="134"/>
      <c r="BEX794" s="134"/>
      <c r="BEY794" s="134"/>
      <c r="BEZ794" s="134"/>
      <c r="BFA794" s="134"/>
      <c r="BFB794" s="134"/>
      <c r="BFC794" s="134"/>
      <c r="BFD794" s="134"/>
      <c r="BFE794" s="134"/>
      <c r="BFF794" s="134"/>
      <c r="BFG794" s="134"/>
      <c r="BFH794" s="134"/>
      <c r="BFI794" s="134"/>
      <c r="BFJ794" s="134"/>
      <c r="BFK794" s="134"/>
      <c r="BFL794" s="134"/>
      <c r="BFM794" s="134"/>
      <c r="BFN794" s="134"/>
      <c r="BFO794" s="134"/>
      <c r="BFP794" s="134"/>
      <c r="BFQ794" s="134"/>
      <c r="BFR794" s="134"/>
      <c r="BFS794" s="134"/>
      <c r="BFT794" s="134"/>
      <c r="BFU794" s="134"/>
      <c r="BFV794" s="134"/>
      <c r="BFW794" s="134"/>
      <c r="BFX794" s="134"/>
      <c r="BFY794" s="134"/>
      <c r="BFZ794" s="134"/>
      <c r="BGA794" s="134"/>
      <c r="BGB794" s="134"/>
      <c r="BGC794" s="134"/>
      <c r="BGD794" s="134"/>
      <c r="BGE794" s="134"/>
      <c r="BGF794" s="134"/>
      <c r="BGG794" s="134"/>
      <c r="BGH794" s="134"/>
      <c r="BGI794" s="134"/>
      <c r="BGJ794" s="134"/>
      <c r="BGK794" s="134"/>
      <c r="BGL794" s="134"/>
      <c r="BGM794" s="134"/>
      <c r="BGN794" s="134"/>
      <c r="BGO794" s="134"/>
      <c r="BGP794" s="134"/>
      <c r="BGQ794" s="134"/>
      <c r="BGR794" s="134"/>
      <c r="BGS794" s="134"/>
      <c r="BGT794" s="134"/>
      <c r="BGU794" s="134"/>
      <c r="BGV794" s="134"/>
      <c r="BGW794" s="134"/>
      <c r="BGX794" s="134"/>
      <c r="BGY794" s="134"/>
      <c r="BGZ794" s="134"/>
      <c r="BHA794" s="134"/>
      <c r="BHB794" s="134"/>
      <c r="BHC794" s="134"/>
      <c r="BHD794" s="134"/>
      <c r="BHE794" s="134"/>
      <c r="BHF794" s="134"/>
      <c r="BHG794" s="134"/>
      <c r="BHH794" s="134"/>
      <c r="BHI794" s="134"/>
      <c r="BHJ794" s="134"/>
      <c r="BHK794" s="134"/>
      <c r="BHL794" s="134"/>
      <c r="BHM794" s="134"/>
      <c r="BHN794" s="134"/>
      <c r="BHO794" s="134"/>
      <c r="BHP794" s="134"/>
      <c r="BHQ794" s="134"/>
      <c r="BHR794" s="134"/>
      <c r="BHS794" s="134"/>
      <c r="BHT794" s="134"/>
      <c r="BHU794" s="134"/>
      <c r="BHV794" s="134"/>
      <c r="BHW794" s="134"/>
      <c r="BHX794" s="134"/>
      <c r="BHY794" s="134"/>
      <c r="BHZ794" s="134"/>
      <c r="BIA794" s="134"/>
      <c r="BIB794" s="134"/>
      <c r="BIC794" s="134"/>
      <c r="BID794" s="134"/>
      <c r="BIE794" s="134"/>
      <c r="BIF794" s="134"/>
      <c r="BIG794" s="134"/>
      <c r="BIH794" s="134"/>
      <c r="BII794" s="134"/>
      <c r="BIJ794" s="134"/>
      <c r="BIK794" s="134"/>
      <c r="BIL794" s="134"/>
      <c r="BIM794" s="134"/>
      <c r="BIN794" s="134"/>
      <c r="BIO794" s="134"/>
      <c r="BIP794" s="134"/>
      <c r="BIQ794" s="134"/>
      <c r="BIR794" s="134"/>
      <c r="BIS794" s="134"/>
      <c r="BIT794" s="134"/>
      <c r="BIU794" s="134"/>
      <c r="BIV794" s="134"/>
      <c r="BIW794" s="134"/>
      <c r="BIX794" s="134"/>
      <c r="BIY794" s="134"/>
      <c r="BIZ794" s="134"/>
      <c r="BJA794" s="134"/>
      <c r="BJB794" s="134"/>
      <c r="BJC794" s="134"/>
      <c r="BJD794" s="134"/>
      <c r="BJE794" s="134"/>
      <c r="BJF794" s="134"/>
      <c r="BJG794" s="134"/>
      <c r="BJH794" s="134"/>
      <c r="BJI794" s="134"/>
      <c r="BJJ794" s="134"/>
      <c r="BJK794" s="134"/>
      <c r="BJL794" s="134"/>
      <c r="BJM794" s="134"/>
      <c r="BJN794" s="134"/>
      <c r="BJO794" s="134"/>
      <c r="BJP794" s="134"/>
      <c r="BJQ794" s="134"/>
      <c r="BJR794" s="134"/>
      <c r="BJS794" s="134"/>
      <c r="BJT794" s="134"/>
      <c r="BJU794" s="134"/>
      <c r="BJV794" s="134"/>
      <c r="BJW794" s="134"/>
      <c r="BJX794" s="134"/>
      <c r="BJY794" s="134"/>
      <c r="BJZ794" s="134"/>
      <c r="BKA794" s="134"/>
      <c r="BKB794" s="134"/>
      <c r="BKC794" s="134"/>
      <c r="BKD794" s="134"/>
      <c r="BKE794" s="134"/>
      <c r="BKF794" s="134"/>
      <c r="BKG794" s="134"/>
      <c r="BKH794" s="134"/>
      <c r="BKI794" s="134"/>
      <c r="BKJ794" s="134"/>
      <c r="BKK794" s="134"/>
      <c r="BKL794" s="134"/>
      <c r="BKM794" s="134"/>
      <c r="BKN794" s="134"/>
      <c r="BKO794" s="134"/>
      <c r="BKP794" s="134"/>
      <c r="BKQ794" s="134"/>
      <c r="BKR794" s="134"/>
      <c r="BKS794" s="134"/>
      <c r="BKT794" s="134"/>
      <c r="BKU794" s="134"/>
      <c r="BKV794" s="134"/>
      <c r="BKW794" s="134"/>
      <c r="BKX794" s="134"/>
      <c r="BKY794" s="134"/>
      <c r="BKZ794" s="134"/>
      <c r="BLA794" s="134"/>
      <c r="BLB794" s="134"/>
      <c r="BLC794" s="134"/>
      <c r="BLD794" s="134"/>
      <c r="BLE794" s="134"/>
      <c r="BLF794" s="134"/>
      <c r="BLG794" s="134"/>
      <c r="BLH794" s="134"/>
      <c r="BLI794" s="134"/>
      <c r="BLJ794" s="134"/>
      <c r="BLK794" s="134"/>
      <c r="BLL794" s="134"/>
      <c r="BLM794" s="134"/>
      <c r="BLN794" s="134"/>
      <c r="BLO794" s="134"/>
      <c r="BLP794" s="134"/>
      <c r="BLQ794" s="134"/>
      <c r="BLR794" s="134"/>
      <c r="BLS794" s="134"/>
      <c r="BLT794" s="134"/>
      <c r="BLU794" s="134"/>
      <c r="BLV794" s="134"/>
      <c r="BLW794" s="134"/>
      <c r="BLX794" s="134"/>
      <c r="BLY794" s="134"/>
      <c r="BLZ794" s="134"/>
      <c r="BMA794" s="134"/>
      <c r="BMB794" s="134"/>
      <c r="BMC794" s="134"/>
      <c r="BMD794" s="134"/>
      <c r="BME794" s="134"/>
      <c r="BMF794" s="134"/>
      <c r="BMG794" s="134"/>
      <c r="BMH794" s="134"/>
      <c r="BMI794" s="134"/>
      <c r="BMJ794" s="134"/>
      <c r="BMK794" s="134"/>
      <c r="BML794" s="134"/>
      <c r="BMM794" s="134"/>
      <c r="BMN794" s="134"/>
      <c r="BMO794" s="134"/>
      <c r="BMP794" s="134"/>
      <c r="BMQ794" s="134"/>
      <c r="BMR794" s="134"/>
      <c r="BMS794" s="134"/>
      <c r="BMT794" s="134"/>
      <c r="BMU794" s="134"/>
      <c r="BMV794" s="134"/>
      <c r="BMW794" s="134"/>
      <c r="BMX794" s="134"/>
      <c r="BMY794" s="134"/>
      <c r="BMZ794" s="134"/>
      <c r="BNA794" s="134"/>
      <c r="BNB794" s="134"/>
      <c r="BNC794" s="134"/>
      <c r="BND794" s="134"/>
      <c r="BNE794" s="134"/>
      <c r="BNF794" s="134"/>
      <c r="BNG794" s="134"/>
      <c r="BNH794" s="134"/>
      <c r="BNI794" s="134"/>
      <c r="BNJ794" s="134"/>
      <c r="BNK794" s="134"/>
      <c r="BNL794" s="134"/>
      <c r="BNM794" s="134"/>
      <c r="BNN794" s="134"/>
      <c r="BNO794" s="134"/>
      <c r="BNP794" s="134"/>
      <c r="BNQ794" s="134"/>
      <c r="BNR794" s="134"/>
      <c r="BNS794" s="134"/>
      <c r="BNT794" s="134"/>
      <c r="BNU794" s="134"/>
      <c r="BNV794" s="134"/>
      <c r="BNW794" s="134"/>
      <c r="BNX794" s="134"/>
      <c r="BNY794" s="134"/>
      <c r="BNZ794" s="134"/>
      <c r="BOA794" s="134"/>
      <c r="BOB794" s="134"/>
      <c r="BOC794" s="134"/>
      <c r="BOD794" s="134"/>
      <c r="BOE794" s="134"/>
      <c r="BOF794" s="134"/>
      <c r="BOG794" s="134"/>
      <c r="BOH794" s="134"/>
      <c r="BOI794" s="134"/>
      <c r="BOJ794" s="134"/>
      <c r="BOK794" s="134"/>
      <c r="BOL794" s="134"/>
      <c r="BOM794" s="134"/>
      <c r="BON794" s="134"/>
      <c r="BOO794" s="134"/>
      <c r="BOP794" s="134"/>
      <c r="BOQ794" s="134"/>
      <c r="BOR794" s="134"/>
      <c r="BOS794" s="134"/>
      <c r="BOT794" s="134"/>
      <c r="BOU794" s="134"/>
      <c r="BOV794" s="134"/>
      <c r="BOW794" s="134"/>
      <c r="BOX794" s="134"/>
      <c r="BOY794" s="134"/>
      <c r="BOZ794" s="134"/>
      <c r="BPA794" s="134"/>
      <c r="BPB794" s="134"/>
      <c r="BPC794" s="134"/>
      <c r="BPD794" s="134"/>
      <c r="BPE794" s="134"/>
      <c r="BPF794" s="134"/>
      <c r="BPG794" s="134"/>
      <c r="BPH794" s="134"/>
      <c r="BPI794" s="134"/>
      <c r="BPJ794" s="134"/>
      <c r="BPK794" s="134"/>
      <c r="BPL794" s="134"/>
      <c r="BPM794" s="134"/>
      <c r="BPN794" s="134"/>
      <c r="BPO794" s="134"/>
      <c r="BPP794" s="134"/>
      <c r="BPQ794" s="134"/>
      <c r="BPR794" s="134"/>
      <c r="BPS794" s="134"/>
      <c r="BPT794" s="134"/>
      <c r="BPU794" s="134"/>
      <c r="BPV794" s="134"/>
      <c r="BPW794" s="134"/>
      <c r="BPX794" s="134"/>
      <c r="BPY794" s="134"/>
      <c r="BPZ794" s="134"/>
      <c r="BQA794" s="134"/>
      <c r="BQB794" s="134"/>
      <c r="BQC794" s="134"/>
      <c r="BQD794" s="134"/>
      <c r="BQE794" s="134"/>
      <c r="BQF794" s="134"/>
      <c r="BQG794" s="134"/>
      <c r="BQH794" s="134"/>
      <c r="BQI794" s="134"/>
      <c r="BQJ794" s="134"/>
      <c r="BQK794" s="134"/>
      <c r="BQL794" s="134"/>
      <c r="BQM794" s="134"/>
      <c r="BQN794" s="134"/>
      <c r="BQO794" s="134"/>
      <c r="BQP794" s="134"/>
      <c r="BQQ794" s="134"/>
      <c r="BQR794" s="134"/>
      <c r="BQS794" s="134"/>
      <c r="BQT794" s="134"/>
      <c r="BQU794" s="134"/>
      <c r="BQV794" s="134"/>
      <c r="BQW794" s="134"/>
      <c r="BQX794" s="134"/>
      <c r="BQY794" s="134"/>
      <c r="BQZ794" s="134"/>
      <c r="BRA794" s="134"/>
      <c r="BRB794" s="134"/>
      <c r="BRC794" s="134"/>
      <c r="BRD794" s="134"/>
      <c r="BRE794" s="134"/>
      <c r="BRF794" s="134"/>
      <c r="BRG794" s="134"/>
      <c r="BRH794" s="134"/>
      <c r="BRI794" s="134"/>
      <c r="BRJ794" s="134"/>
      <c r="BRK794" s="134"/>
      <c r="BRL794" s="134"/>
      <c r="BRM794" s="134"/>
      <c r="BRN794" s="134"/>
      <c r="BRO794" s="134"/>
      <c r="BRP794" s="134"/>
      <c r="BRQ794" s="134"/>
      <c r="BRR794" s="134"/>
      <c r="BRS794" s="134"/>
      <c r="BRT794" s="134"/>
      <c r="BRU794" s="134"/>
      <c r="BRV794" s="134"/>
      <c r="BRW794" s="134"/>
      <c r="BRX794" s="134"/>
      <c r="BRY794" s="134"/>
      <c r="BRZ794" s="134"/>
      <c r="BSA794" s="134"/>
      <c r="BSB794" s="134"/>
      <c r="BSC794" s="134"/>
      <c r="BSD794" s="134"/>
      <c r="BSE794" s="134"/>
      <c r="BSF794" s="134"/>
      <c r="BSG794" s="134"/>
      <c r="BSH794" s="134"/>
      <c r="BSI794" s="134"/>
      <c r="BSJ794" s="134"/>
      <c r="BSK794" s="134"/>
      <c r="BSL794" s="134"/>
      <c r="BSM794" s="134"/>
      <c r="BSN794" s="134"/>
      <c r="BSO794" s="134"/>
      <c r="BSP794" s="134"/>
      <c r="BSQ794" s="134"/>
      <c r="BSR794" s="134"/>
      <c r="BSS794" s="134"/>
      <c r="BST794" s="134"/>
      <c r="BSU794" s="134"/>
      <c r="BSV794" s="134"/>
      <c r="BSW794" s="134"/>
      <c r="BSX794" s="134"/>
      <c r="BSY794" s="134"/>
      <c r="BSZ794" s="134"/>
      <c r="BTA794" s="134"/>
      <c r="BTB794" s="134"/>
      <c r="BTC794" s="134"/>
      <c r="BTD794" s="134"/>
      <c r="BTE794" s="134"/>
      <c r="BTF794" s="134"/>
      <c r="BTG794" s="134"/>
      <c r="BTH794" s="134"/>
      <c r="BTI794" s="134"/>
      <c r="BTJ794" s="134"/>
      <c r="BTK794" s="134"/>
      <c r="BTL794" s="134"/>
      <c r="BTM794" s="134"/>
      <c r="BTN794" s="134"/>
      <c r="BTO794" s="134"/>
      <c r="BTP794" s="134"/>
      <c r="BTQ794" s="134"/>
      <c r="BTR794" s="134"/>
      <c r="BTS794" s="134"/>
      <c r="BTT794" s="134"/>
      <c r="BTU794" s="134"/>
      <c r="BTV794" s="134"/>
      <c r="BTW794" s="134"/>
      <c r="BTX794" s="134"/>
      <c r="BTY794" s="134"/>
      <c r="BTZ794" s="134"/>
      <c r="BUA794" s="134"/>
      <c r="BUB794" s="134"/>
      <c r="BUC794" s="134"/>
      <c r="BUD794" s="134"/>
      <c r="BUE794" s="134"/>
      <c r="BUF794" s="134"/>
      <c r="BUG794" s="134"/>
      <c r="BUH794" s="134"/>
      <c r="BUI794" s="134"/>
      <c r="BUJ794" s="134"/>
      <c r="BUK794" s="134"/>
      <c r="BUL794" s="134"/>
      <c r="BUM794" s="134"/>
      <c r="BUN794" s="134"/>
      <c r="BUO794" s="134"/>
      <c r="BUP794" s="134"/>
      <c r="BUQ794" s="134"/>
      <c r="BUR794" s="134"/>
      <c r="BUS794" s="134"/>
      <c r="BUT794" s="134"/>
      <c r="BUU794" s="134"/>
      <c r="BUV794" s="134"/>
      <c r="BUW794" s="134"/>
      <c r="BUX794" s="134"/>
      <c r="BUY794" s="134"/>
      <c r="BUZ794" s="134"/>
      <c r="BVA794" s="134"/>
      <c r="BVB794" s="134"/>
      <c r="BVC794" s="134"/>
      <c r="BVD794" s="134"/>
      <c r="BVE794" s="134"/>
      <c r="BVF794" s="134"/>
      <c r="BVG794" s="134"/>
      <c r="BVH794" s="134"/>
      <c r="BVI794" s="134"/>
      <c r="BVJ794" s="134"/>
      <c r="BVK794" s="134"/>
      <c r="BVL794" s="134"/>
      <c r="BVM794" s="134"/>
      <c r="BVN794" s="134"/>
      <c r="BVO794" s="134"/>
      <c r="BVP794" s="134"/>
      <c r="BVQ794" s="134"/>
      <c r="BVR794" s="134"/>
      <c r="BVS794" s="134"/>
      <c r="BVT794" s="134"/>
      <c r="BVU794" s="134"/>
      <c r="BVV794" s="134"/>
      <c r="BVW794" s="134"/>
      <c r="BVX794" s="134"/>
      <c r="BVY794" s="134"/>
      <c r="BVZ794" s="134"/>
      <c r="BWA794" s="134"/>
      <c r="BWB794" s="134"/>
      <c r="BWC794" s="134"/>
      <c r="BWD794" s="134"/>
      <c r="BWE794" s="134"/>
      <c r="BWF794" s="134"/>
      <c r="BWG794" s="134"/>
      <c r="BWH794" s="134"/>
      <c r="BWI794" s="134"/>
      <c r="BWJ794" s="134"/>
      <c r="BWK794" s="134"/>
      <c r="BWL794" s="134"/>
      <c r="BWM794" s="134"/>
      <c r="BWN794" s="134"/>
      <c r="BWO794" s="134"/>
      <c r="BWP794" s="134"/>
      <c r="BWQ794" s="134"/>
      <c r="BWR794" s="134"/>
      <c r="BWS794" s="134"/>
      <c r="BWT794" s="134"/>
      <c r="BWU794" s="134"/>
      <c r="BWV794" s="134"/>
      <c r="BWW794" s="134"/>
      <c r="BWX794" s="134"/>
      <c r="BWY794" s="134"/>
      <c r="BWZ794" s="134"/>
      <c r="BXA794" s="134"/>
      <c r="BXB794" s="134"/>
      <c r="BXC794" s="134"/>
      <c r="BXD794" s="134"/>
      <c r="BXE794" s="134"/>
      <c r="BXF794" s="134"/>
      <c r="BXG794" s="134"/>
      <c r="BXH794" s="134"/>
      <c r="BXI794" s="134"/>
      <c r="BXJ794" s="134"/>
      <c r="BXK794" s="134"/>
      <c r="BXL794" s="134"/>
      <c r="BXM794" s="134"/>
      <c r="BXN794" s="134"/>
      <c r="BXO794" s="134"/>
      <c r="BXP794" s="134"/>
      <c r="BXQ794" s="134"/>
      <c r="BXR794" s="134"/>
      <c r="BXS794" s="134"/>
      <c r="BXT794" s="134"/>
      <c r="BXU794" s="134"/>
      <c r="BXV794" s="134"/>
      <c r="BXW794" s="134"/>
      <c r="BXX794" s="134"/>
      <c r="BXY794" s="134"/>
      <c r="BXZ794" s="134"/>
      <c r="BYA794" s="134"/>
      <c r="BYB794" s="134"/>
      <c r="BYC794" s="134"/>
      <c r="BYD794" s="134"/>
      <c r="BYE794" s="134"/>
      <c r="BYF794" s="134"/>
      <c r="BYG794" s="134"/>
      <c r="BYH794" s="134"/>
      <c r="BYI794" s="134"/>
      <c r="BYJ794" s="134"/>
      <c r="BYK794" s="134"/>
      <c r="BYL794" s="134"/>
      <c r="BYM794" s="134"/>
      <c r="BYN794" s="134"/>
      <c r="BYO794" s="134"/>
      <c r="BYP794" s="134"/>
      <c r="BYQ794" s="134"/>
      <c r="BYR794" s="134"/>
      <c r="BYS794" s="134"/>
      <c r="BYT794" s="134"/>
      <c r="BYU794" s="134"/>
      <c r="BYV794" s="134"/>
      <c r="BYW794" s="134"/>
      <c r="BYX794" s="134"/>
      <c r="BYY794" s="134"/>
      <c r="BYZ794" s="134"/>
      <c r="BZA794" s="134"/>
      <c r="BZB794" s="134"/>
      <c r="BZC794" s="134"/>
      <c r="BZD794" s="134"/>
      <c r="BZE794" s="134"/>
      <c r="BZF794" s="134"/>
      <c r="BZG794" s="134"/>
      <c r="BZH794" s="134"/>
      <c r="BZI794" s="134"/>
      <c r="BZJ794" s="134"/>
      <c r="BZK794" s="134"/>
      <c r="BZL794" s="134"/>
      <c r="BZM794" s="134"/>
      <c r="BZN794" s="134"/>
      <c r="BZO794" s="134"/>
      <c r="BZP794" s="134"/>
      <c r="BZQ794" s="134"/>
      <c r="BZR794" s="134"/>
      <c r="BZS794" s="134"/>
      <c r="BZT794" s="134"/>
      <c r="BZU794" s="134"/>
      <c r="BZV794" s="134"/>
      <c r="BZW794" s="134"/>
      <c r="BZX794" s="134"/>
      <c r="BZY794" s="134"/>
      <c r="BZZ794" s="134"/>
      <c r="CAA794" s="134"/>
      <c r="CAB794" s="134"/>
      <c r="CAC794" s="134"/>
      <c r="CAD794" s="134"/>
      <c r="CAE794" s="134"/>
      <c r="CAF794" s="134"/>
      <c r="CAG794" s="134"/>
      <c r="CAH794" s="134"/>
      <c r="CAI794" s="134"/>
      <c r="CAJ794" s="134"/>
      <c r="CAK794" s="134"/>
      <c r="CAL794" s="134"/>
      <c r="CAM794" s="134"/>
      <c r="CAN794" s="134"/>
      <c r="CAO794" s="134"/>
      <c r="CAP794" s="134"/>
      <c r="CAQ794" s="134"/>
      <c r="CAR794" s="134"/>
      <c r="CAS794" s="134"/>
      <c r="CAT794" s="134"/>
      <c r="CAU794" s="134"/>
      <c r="CAV794" s="134"/>
      <c r="CAW794" s="134"/>
      <c r="CAX794" s="134"/>
      <c r="CAY794" s="134"/>
      <c r="CAZ794" s="134"/>
      <c r="CBA794" s="134"/>
      <c r="CBB794" s="134"/>
      <c r="CBC794" s="134"/>
      <c r="CBD794" s="134"/>
      <c r="CBE794" s="134"/>
      <c r="CBF794" s="134"/>
      <c r="CBG794" s="134"/>
      <c r="CBH794" s="134"/>
      <c r="CBI794" s="134"/>
      <c r="CBJ794" s="134"/>
      <c r="CBK794" s="134"/>
      <c r="CBL794" s="134"/>
      <c r="CBM794" s="134"/>
      <c r="CBN794" s="134"/>
      <c r="CBO794" s="134"/>
      <c r="CBP794" s="134"/>
      <c r="CBQ794" s="134"/>
      <c r="CBR794" s="134"/>
      <c r="CBS794" s="134"/>
      <c r="CBT794" s="134"/>
      <c r="CBU794" s="134"/>
      <c r="CBV794" s="134"/>
      <c r="CBW794" s="134"/>
      <c r="CBX794" s="134"/>
      <c r="CBY794" s="134"/>
      <c r="CBZ794" s="134"/>
      <c r="CCA794" s="134"/>
      <c r="CCB794" s="134"/>
      <c r="CCC794" s="134"/>
      <c r="CCD794" s="134"/>
      <c r="CCE794" s="134"/>
      <c r="CCF794" s="134"/>
      <c r="CCG794" s="134"/>
      <c r="CCH794" s="134"/>
      <c r="CCI794" s="134"/>
      <c r="CCJ794" s="134"/>
      <c r="CCK794" s="134"/>
      <c r="CCL794" s="134"/>
      <c r="CCM794" s="134"/>
      <c r="CCN794" s="134"/>
      <c r="CCO794" s="134"/>
      <c r="CCP794" s="134"/>
      <c r="CCQ794" s="134"/>
      <c r="CCR794" s="134"/>
      <c r="CCS794" s="134"/>
      <c r="CCT794" s="134"/>
      <c r="CCU794" s="134"/>
      <c r="CCV794" s="134"/>
      <c r="CCW794" s="134"/>
      <c r="CCX794" s="134"/>
      <c r="CCY794" s="134"/>
      <c r="CCZ794" s="134"/>
      <c r="CDA794" s="134"/>
      <c r="CDB794" s="134"/>
      <c r="CDC794" s="134"/>
      <c r="CDD794" s="134"/>
      <c r="CDE794" s="134"/>
      <c r="CDF794" s="134"/>
      <c r="CDG794" s="134"/>
      <c r="CDH794" s="134"/>
      <c r="CDI794" s="134"/>
      <c r="CDJ794" s="134"/>
      <c r="CDK794" s="134"/>
      <c r="CDL794" s="134"/>
      <c r="CDM794" s="134"/>
      <c r="CDN794" s="134"/>
      <c r="CDO794" s="134"/>
      <c r="CDP794" s="134"/>
      <c r="CDQ794" s="134"/>
      <c r="CDR794" s="134"/>
      <c r="CDS794" s="134"/>
      <c r="CDT794" s="134"/>
      <c r="CDU794" s="134"/>
      <c r="CDV794" s="134"/>
      <c r="CDW794" s="134"/>
      <c r="CDX794" s="134"/>
      <c r="CDY794" s="134"/>
      <c r="CDZ794" s="134"/>
      <c r="CEA794" s="134"/>
      <c r="CEB794" s="134"/>
      <c r="CEC794" s="134"/>
      <c r="CED794" s="134"/>
      <c r="CEE794" s="134"/>
      <c r="CEF794" s="134"/>
      <c r="CEG794" s="134"/>
      <c r="CEH794" s="134"/>
      <c r="CEI794" s="134"/>
      <c r="CEJ794" s="134"/>
      <c r="CEK794" s="134"/>
      <c r="CEL794" s="134"/>
      <c r="CEM794" s="134"/>
      <c r="CEN794" s="134"/>
      <c r="CEO794" s="134"/>
      <c r="CEP794" s="134"/>
      <c r="CEQ794" s="134"/>
      <c r="CER794" s="134"/>
      <c r="CES794" s="134"/>
      <c r="CET794" s="134"/>
      <c r="CEU794" s="134"/>
      <c r="CEV794" s="134"/>
      <c r="CEW794" s="134"/>
      <c r="CEX794" s="134"/>
      <c r="CEY794" s="134"/>
      <c r="CEZ794" s="134"/>
      <c r="CFA794" s="134"/>
      <c r="CFB794" s="134"/>
      <c r="CFC794" s="134"/>
      <c r="CFD794" s="134"/>
      <c r="CFE794" s="134"/>
      <c r="CFF794" s="134"/>
      <c r="CFG794" s="134"/>
      <c r="CFH794" s="134"/>
      <c r="CFI794" s="134"/>
      <c r="CFJ794" s="134"/>
      <c r="CFK794" s="134"/>
      <c r="CFL794" s="134"/>
      <c r="CFM794" s="134"/>
      <c r="CFN794" s="134"/>
      <c r="CFO794" s="134"/>
      <c r="CFP794" s="134"/>
      <c r="CFQ794" s="134"/>
      <c r="CFR794" s="134"/>
      <c r="CFS794" s="134"/>
      <c r="CFT794" s="134"/>
      <c r="CFU794" s="134"/>
      <c r="CFV794" s="134"/>
      <c r="CFW794" s="134"/>
      <c r="CFX794" s="134"/>
      <c r="CFY794" s="134"/>
      <c r="CFZ794" s="134"/>
      <c r="CGA794" s="134"/>
      <c r="CGB794" s="134"/>
      <c r="CGC794" s="134"/>
      <c r="CGD794" s="134"/>
      <c r="CGE794" s="134"/>
      <c r="CGF794" s="134"/>
      <c r="CGG794" s="134"/>
      <c r="CGH794" s="134"/>
      <c r="CGI794" s="134"/>
      <c r="CGJ794" s="134"/>
      <c r="CGK794" s="134"/>
      <c r="CGL794" s="134"/>
      <c r="CGM794" s="134"/>
      <c r="CGN794" s="134"/>
      <c r="CGO794" s="134"/>
      <c r="CGP794" s="134"/>
      <c r="CGQ794" s="134"/>
      <c r="CGR794" s="134"/>
      <c r="CGS794" s="134"/>
      <c r="CGT794" s="134"/>
      <c r="CGU794" s="134"/>
      <c r="CGV794" s="134"/>
      <c r="CGW794" s="134"/>
      <c r="CGX794" s="134"/>
      <c r="CGY794" s="134"/>
      <c r="CGZ794" s="134"/>
      <c r="CHA794" s="134"/>
      <c r="CHB794" s="134"/>
      <c r="CHC794" s="134"/>
      <c r="CHD794" s="134"/>
      <c r="CHE794" s="134"/>
      <c r="CHF794" s="134"/>
      <c r="CHG794" s="134"/>
      <c r="CHH794" s="134"/>
      <c r="CHI794" s="134"/>
      <c r="CHJ794" s="134"/>
      <c r="CHK794" s="134"/>
      <c r="CHL794" s="134"/>
      <c r="CHM794" s="134"/>
      <c r="CHN794" s="134"/>
      <c r="CHO794" s="134"/>
      <c r="CHP794" s="134"/>
      <c r="CHQ794" s="134"/>
      <c r="CHR794" s="134"/>
      <c r="CHS794" s="134"/>
      <c r="CHT794" s="134"/>
      <c r="CHU794" s="134"/>
      <c r="CHV794" s="134"/>
      <c r="CHW794" s="134"/>
      <c r="CHX794" s="134"/>
      <c r="CHY794" s="134"/>
      <c r="CHZ794" s="134"/>
      <c r="CIA794" s="134"/>
      <c r="CIB794" s="134"/>
      <c r="CIC794" s="134"/>
      <c r="CID794" s="134"/>
      <c r="CIE794" s="134"/>
      <c r="CIF794" s="134"/>
      <c r="CIG794" s="134"/>
      <c r="CIH794" s="134"/>
      <c r="CII794" s="134"/>
      <c r="CIJ794" s="134"/>
      <c r="CIK794" s="134"/>
      <c r="CIL794" s="134"/>
      <c r="CIM794" s="134"/>
      <c r="CIN794" s="134"/>
      <c r="CIO794" s="134"/>
      <c r="CIP794" s="134"/>
      <c r="CIQ794" s="134"/>
      <c r="CIR794" s="134"/>
      <c r="CIS794" s="134"/>
      <c r="CIT794" s="134"/>
      <c r="CIU794" s="134"/>
      <c r="CIV794" s="134"/>
      <c r="CIW794" s="134"/>
      <c r="CIX794" s="134"/>
      <c r="CIY794" s="134"/>
      <c r="CIZ794" s="134"/>
      <c r="CJA794" s="134"/>
      <c r="CJB794" s="134"/>
      <c r="CJC794" s="134"/>
      <c r="CJD794" s="134"/>
      <c r="CJE794" s="134"/>
      <c r="CJF794" s="134"/>
      <c r="CJG794" s="134"/>
      <c r="CJH794" s="134"/>
      <c r="CJI794" s="134"/>
      <c r="CJJ794" s="134"/>
      <c r="CJK794" s="134"/>
      <c r="CJL794" s="134"/>
      <c r="CJM794" s="134"/>
      <c r="CJN794" s="134"/>
      <c r="CJO794" s="134"/>
      <c r="CJP794" s="134"/>
      <c r="CJQ794" s="134"/>
      <c r="CJR794" s="134"/>
      <c r="CJS794" s="134"/>
      <c r="CJT794" s="134"/>
      <c r="CJU794" s="134"/>
      <c r="CJV794" s="134"/>
      <c r="CJW794" s="134"/>
      <c r="CJX794" s="134"/>
      <c r="CJY794" s="134"/>
      <c r="CJZ794" s="134"/>
      <c r="CKA794" s="134"/>
      <c r="CKB794" s="134"/>
      <c r="CKC794" s="134"/>
      <c r="CKD794" s="134"/>
      <c r="CKE794" s="134"/>
      <c r="CKF794" s="134"/>
      <c r="CKG794" s="134"/>
      <c r="CKH794" s="134"/>
      <c r="CKI794" s="134"/>
      <c r="CKJ794" s="134"/>
      <c r="CKK794" s="134"/>
      <c r="CKL794" s="134"/>
      <c r="CKM794" s="134"/>
      <c r="CKN794" s="134"/>
      <c r="CKO794" s="134"/>
      <c r="CKP794" s="134"/>
      <c r="CKQ794" s="134"/>
      <c r="CKR794" s="134"/>
      <c r="CKS794" s="134"/>
      <c r="CKT794" s="134"/>
      <c r="CKU794" s="134"/>
      <c r="CKV794" s="134"/>
      <c r="CKW794" s="134"/>
      <c r="CKX794" s="134"/>
      <c r="CKY794" s="134"/>
      <c r="CKZ794" s="134"/>
      <c r="CLA794" s="134"/>
      <c r="CLB794" s="134"/>
      <c r="CLC794" s="134"/>
      <c r="CLD794" s="134"/>
      <c r="CLE794" s="134"/>
      <c r="CLF794" s="134"/>
      <c r="CLG794" s="134"/>
      <c r="CLH794" s="134"/>
      <c r="CLI794" s="134"/>
      <c r="CLJ794" s="134"/>
      <c r="CLK794" s="134"/>
      <c r="CLL794" s="134"/>
      <c r="CLM794" s="134"/>
      <c r="CLN794" s="134"/>
      <c r="CLO794" s="134"/>
      <c r="CLP794" s="134"/>
      <c r="CLQ794" s="134"/>
      <c r="CLR794" s="134"/>
      <c r="CLS794" s="134"/>
      <c r="CLT794" s="134"/>
      <c r="CLU794" s="134"/>
      <c r="CLV794" s="134"/>
      <c r="CLW794" s="134"/>
      <c r="CLX794" s="134"/>
      <c r="CLY794" s="134"/>
      <c r="CLZ794" s="134"/>
      <c r="CMA794" s="134"/>
      <c r="CMB794" s="134"/>
      <c r="CMC794" s="134"/>
      <c r="CMD794" s="134"/>
      <c r="CME794" s="134"/>
      <c r="CMF794" s="134"/>
      <c r="CMG794" s="134"/>
      <c r="CMH794" s="134"/>
      <c r="CMI794" s="134"/>
      <c r="CMJ794" s="134"/>
      <c r="CMK794" s="134"/>
      <c r="CML794" s="134"/>
      <c r="CMM794" s="134"/>
      <c r="CMN794" s="134"/>
      <c r="CMO794" s="134"/>
      <c r="CMP794" s="134"/>
      <c r="CMQ794" s="134"/>
      <c r="CMR794" s="134"/>
      <c r="CMS794" s="134"/>
      <c r="CMT794" s="134"/>
      <c r="CMU794" s="134"/>
      <c r="CMV794" s="134"/>
      <c r="CMW794" s="134"/>
      <c r="CMX794" s="134"/>
      <c r="CMY794" s="134"/>
      <c r="CMZ794" s="134"/>
      <c r="CNA794" s="134"/>
      <c r="CNB794" s="134"/>
      <c r="CNC794" s="134"/>
      <c r="CND794" s="134"/>
      <c r="CNE794" s="134"/>
      <c r="CNF794" s="134"/>
      <c r="CNG794" s="134"/>
      <c r="CNH794" s="134"/>
      <c r="CNI794" s="134"/>
      <c r="CNJ794" s="134"/>
      <c r="CNK794" s="134"/>
      <c r="CNL794" s="134"/>
      <c r="CNM794" s="134"/>
      <c r="CNN794" s="134"/>
      <c r="CNO794" s="134"/>
      <c r="CNP794" s="134"/>
      <c r="CNQ794" s="134"/>
      <c r="CNR794" s="134"/>
      <c r="CNS794" s="134"/>
      <c r="CNT794" s="134"/>
      <c r="CNU794" s="134"/>
      <c r="CNV794" s="134"/>
      <c r="CNW794" s="134"/>
      <c r="CNX794" s="134"/>
      <c r="CNY794" s="134"/>
      <c r="CNZ794" s="134"/>
      <c r="COA794" s="134"/>
      <c r="COB794" s="134"/>
      <c r="COC794" s="134"/>
      <c r="COD794" s="134"/>
      <c r="COE794" s="134"/>
      <c r="COF794" s="134"/>
      <c r="COG794" s="134"/>
      <c r="COH794" s="134"/>
      <c r="COI794" s="134"/>
      <c r="COJ794" s="134"/>
      <c r="COK794" s="134"/>
      <c r="COL794" s="134"/>
      <c r="COM794" s="134"/>
      <c r="CON794" s="134"/>
      <c r="COO794" s="134"/>
      <c r="COP794" s="134"/>
      <c r="COQ794" s="134"/>
      <c r="COR794" s="134"/>
      <c r="COS794" s="134"/>
      <c r="COT794" s="134"/>
      <c r="COU794" s="134"/>
      <c r="COV794" s="134"/>
      <c r="COW794" s="134"/>
      <c r="COX794" s="134"/>
      <c r="COY794" s="134"/>
      <c r="COZ794" s="134"/>
      <c r="CPA794" s="134"/>
      <c r="CPB794" s="134"/>
      <c r="CPC794" s="134"/>
      <c r="CPD794" s="134"/>
      <c r="CPE794" s="134"/>
      <c r="CPF794" s="134"/>
      <c r="CPG794" s="134"/>
      <c r="CPH794" s="134"/>
      <c r="CPI794" s="134"/>
      <c r="CPJ794" s="134"/>
      <c r="CPK794" s="134"/>
      <c r="CPL794" s="134"/>
      <c r="CPM794" s="134"/>
      <c r="CPN794" s="134"/>
      <c r="CPO794" s="134"/>
      <c r="CPP794" s="134"/>
      <c r="CPQ794" s="134"/>
      <c r="CPR794" s="134"/>
      <c r="CPS794" s="134"/>
      <c r="CPT794" s="134"/>
      <c r="CPU794" s="134"/>
      <c r="CPV794" s="134"/>
      <c r="CPW794" s="134"/>
      <c r="CPX794" s="134"/>
      <c r="CPY794" s="134"/>
      <c r="CPZ794" s="134"/>
      <c r="CQA794" s="134"/>
      <c r="CQB794" s="134"/>
      <c r="CQC794" s="134"/>
      <c r="CQD794" s="134"/>
      <c r="CQE794" s="134"/>
      <c r="CQF794" s="134"/>
      <c r="CQG794" s="134"/>
      <c r="CQH794" s="134"/>
      <c r="CQI794" s="134"/>
      <c r="CQJ794" s="134"/>
      <c r="CQK794" s="134"/>
      <c r="CQL794" s="134"/>
      <c r="CQM794" s="134"/>
      <c r="CQN794" s="134"/>
      <c r="CQO794" s="134"/>
      <c r="CQP794" s="134"/>
      <c r="CQQ794" s="134"/>
      <c r="CQR794" s="134"/>
      <c r="CQS794" s="134"/>
      <c r="CQT794" s="134"/>
      <c r="CQU794" s="134"/>
      <c r="CQV794" s="134"/>
      <c r="CQW794" s="134"/>
      <c r="CQX794" s="134"/>
      <c r="CQY794" s="134"/>
      <c r="CQZ794" s="134"/>
      <c r="CRA794" s="134"/>
      <c r="CRB794" s="134"/>
      <c r="CRC794" s="134"/>
      <c r="CRD794" s="134"/>
      <c r="CRE794" s="134"/>
      <c r="CRF794" s="134"/>
      <c r="CRG794" s="134"/>
      <c r="CRH794" s="134"/>
      <c r="CRI794" s="134"/>
      <c r="CRJ794" s="134"/>
      <c r="CRK794" s="134"/>
      <c r="CRL794" s="134"/>
      <c r="CRM794" s="134"/>
      <c r="CRN794" s="134"/>
      <c r="CRO794" s="134"/>
      <c r="CRP794" s="134"/>
      <c r="CRQ794" s="134"/>
      <c r="CRR794" s="134"/>
      <c r="CRS794" s="134"/>
      <c r="CRT794" s="134"/>
      <c r="CRU794" s="134"/>
      <c r="CRV794" s="134"/>
      <c r="CRW794" s="134"/>
      <c r="CRX794" s="134"/>
      <c r="CRY794" s="134"/>
      <c r="CRZ794" s="134"/>
      <c r="CSA794" s="134"/>
      <c r="CSB794" s="134"/>
      <c r="CSC794" s="134"/>
      <c r="CSD794" s="134"/>
      <c r="CSE794" s="134"/>
      <c r="CSF794" s="134"/>
      <c r="CSG794" s="134"/>
      <c r="CSH794" s="134"/>
      <c r="CSI794" s="134"/>
      <c r="CSJ794" s="134"/>
      <c r="CSK794" s="134"/>
      <c r="CSL794" s="134"/>
      <c r="CSM794" s="134"/>
      <c r="CSN794" s="134"/>
      <c r="CSO794" s="134"/>
      <c r="CSP794" s="134"/>
      <c r="CSQ794" s="134"/>
      <c r="CSR794" s="134"/>
      <c r="CSS794" s="134"/>
      <c r="CST794" s="134"/>
      <c r="CSU794" s="134"/>
      <c r="CSV794" s="134"/>
      <c r="CSW794" s="134"/>
      <c r="CSX794" s="134"/>
      <c r="CSY794" s="134"/>
      <c r="CSZ794" s="134"/>
      <c r="CTA794" s="134"/>
      <c r="CTB794" s="134"/>
      <c r="CTC794" s="134"/>
      <c r="CTD794" s="134"/>
      <c r="CTE794" s="134"/>
      <c r="CTF794" s="134"/>
      <c r="CTG794" s="134"/>
      <c r="CTH794" s="134"/>
      <c r="CTI794" s="134"/>
      <c r="CTJ794" s="134"/>
      <c r="CTK794" s="134"/>
      <c r="CTL794" s="134"/>
      <c r="CTM794" s="134"/>
      <c r="CTN794" s="134"/>
      <c r="CTO794" s="134"/>
      <c r="CTP794" s="134"/>
      <c r="CTQ794" s="134"/>
      <c r="CTR794" s="134"/>
      <c r="CTS794" s="134"/>
      <c r="CTT794" s="134"/>
      <c r="CTU794" s="134"/>
      <c r="CTV794" s="134"/>
      <c r="CTW794" s="134"/>
      <c r="CTX794" s="134"/>
      <c r="CTY794" s="134"/>
      <c r="CTZ794" s="134"/>
      <c r="CUA794" s="134"/>
      <c r="CUB794" s="134"/>
      <c r="CUC794" s="134"/>
      <c r="CUD794" s="134"/>
      <c r="CUE794" s="134"/>
      <c r="CUF794" s="134"/>
      <c r="CUG794" s="134"/>
      <c r="CUH794" s="134"/>
      <c r="CUI794" s="134"/>
      <c r="CUJ794" s="134"/>
      <c r="CUK794" s="134"/>
      <c r="CUL794" s="134"/>
      <c r="CUM794" s="134"/>
      <c r="CUN794" s="134"/>
      <c r="CUO794" s="134"/>
      <c r="CUP794" s="134"/>
      <c r="CUQ794" s="134"/>
      <c r="CUR794" s="134"/>
      <c r="CUS794" s="134"/>
      <c r="CUT794" s="134"/>
      <c r="CUU794" s="134"/>
      <c r="CUV794" s="134"/>
      <c r="CUW794" s="134"/>
      <c r="CUX794" s="134"/>
      <c r="CUY794" s="134"/>
      <c r="CUZ794" s="134"/>
      <c r="CVA794" s="134"/>
      <c r="CVB794" s="134"/>
      <c r="CVC794" s="134"/>
      <c r="CVD794" s="134"/>
      <c r="CVE794" s="134"/>
      <c r="CVF794" s="134"/>
      <c r="CVG794" s="134"/>
      <c r="CVH794" s="134"/>
      <c r="CVI794" s="134"/>
      <c r="CVJ794" s="134"/>
      <c r="CVK794" s="134"/>
      <c r="CVL794" s="134"/>
      <c r="CVM794" s="134"/>
      <c r="CVN794" s="134"/>
      <c r="CVO794" s="134"/>
      <c r="CVP794" s="134"/>
      <c r="CVQ794" s="134"/>
      <c r="CVR794" s="134"/>
      <c r="CVS794" s="134"/>
      <c r="CVT794" s="134"/>
      <c r="CVU794" s="134"/>
      <c r="CVV794" s="134"/>
      <c r="CVW794" s="134"/>
      <c r="CVX794" s="134"/>
      <c r="CVY794" s="134"/>
      <c r="CVZ794" s="134"/>
      <c r="CWA794" s="134"/>
      <c r="CWB794" s="134"/>
      <c r="CWC794" s="134"/>
      <c r="CWD794" s="134"/>
      <c r="CWE794" s="134"/>
      <c r="CWF794" s="134"/>
      <c r="CWG794" s="134"/>
      <c r="CWH794" s="134"/>
      <c r="CWI794" s="134"/>
      <c r="CWJ794" s="134"/>
      <c r="CWK794" s="134"/>
      <c r="CWL794" s="134"/>
      <c r="CWM794" s="134"/>
      <c r="CWN794" s="134"/>
      <c r="CWO794" s="134"/>
      <c r="CWP794" s="134"/>
      <c r="CWQ794" s="134"/>
      <c r="CWR794" s="134"/>
      <c r="CWS794" s="134"/>
      <c r="CWT794" s="134"/>
      <c r="CWU794" s="134"/>
      <c r="CWV794" s="134"/>
      <c r="CWW794" s="134"/>
      <c r="CWX794" s="134"/>
      <c r="CWY794" s="134"/>
      <c r="CWZ794" s="134"/>
      <c r="CXA794" s="134"/>
      <c r="CXB794" s="134"/>
      <c r="CXC794" s="134"/>
      <c r="CXD794" s="134"/>
      <c r="CXE794" s="134"/>
      <c r="CXF794" s="134"/>
      <c r="CXG794" s="134"/>
      <c r="CXH794" s="134"/>
      <c r="CXI794" s="134"/>
      <c r="CXJ794" s="134"/>
      <c r="CXK794" s="134"/>
      <c r="CXL794" s="134"/>
      <c r="CXM794" s="134"/>
      <c r="CXN794" s="134"/>
      <c r="CXO794" s="134"/>
      <c r="CXP794" s="134"/>
      <c r="CXQ794" s="134"/>
      <c r="CXR794" s="134"/>
      <c r="CXS794" s="134"/>
      <c r="CXT794" s="134"/>
      <c r="CXU794" s="134"/>
      <c r="CXV794" s="134"/>
      <c r="CXW794" s="134"/>
      <c r="CXX794" s="134"/>
      <c r="CXY794" s="134"/>
      <c r="CXZ794" s="134"/>
      <c r="CYA794" s="134"/>
      <c r="CYB794" s="134"/>
      <c r="CYC794" s="134"/>
      <c r="CYD794" s="134"/>
      <c r="CYE794" s="134"/>
      <c r="CYF794" s="134"/>
      <c r="CYG794" s="134"/>
      <c r="CYH794" s="134"/>
      <c r="CYI794" s="134"/>
      <c r="CYJ794" s="134"/>
      <c r="CYK794" s="134"/>
      <c r="CYL794" s="134"/>
      <c r="CYM794" s="134"/>
      <c r="CYN794" s="134"/>
      <c r="CYO794" s="134"/>
      <c r="CYP794" s="134"/>
      <c r="CYQ794" s="134"/>
      <c r="CYR794" s="134"/>
      <c r="CYS794" s="134"/>
      <c r="CYT794" s="134"/>
      <c r="CYU794" s="134"/>
      <c r="CYV794" s="134"/>
      <c r="CYW794" s="134"/>
      <c r="CYX794" s="134"/>
      <c r="CYY794" s="134"/>
      <c r="CYZ794" s="134"/>
      <c r="CZA794" s="134"/>
      <c r="CZB794" s="134"/>
      <c r="CZC794" s="134"/>
      <c r="CZD794" s="134"/>
      <c r="CZE794" s="134"/>
      <c r="CZF794" s="134"/>
      <c r="CZG794" s="134"/>
      <c r="CZH794" s="134"/>
      <c r="CZI794" s="134"/>
      <c r="CZJ794" s="134"/>
      <c r="CZK794" s="134"/>
      <c r="CZL794" s="134"/>
      <c r="CZM794" s="134"/>
      <c r="CZN794" s="134"/>
      <c r="CZO794" s="134"/>
      <c r="CZP794" s="134"/>
      <c r="CZQ794" s="134"/>
      <c r="CZR794" s="134"/>
      <c r="CZS794" s="134"/>
      <c r="CZT794" s="134"/>
      <c r="CZU794" s="134"/>
      <c r="CZV794" s="134"/>
      <c r="CZW794" s="134"/>
      <c r="CZX794" s="134"/>
      <c r="CZY794" s="134"/>
      <c r="CZZ794" s="134"/>
      <c r="DAA794" s="134"/>
      <c r="DAB794" s="134"/>
      <c r="DAC794" s="134"/>
      <c r="DAD794" s="134"/>
      <c r="DAE794" s="134"/>
      <c r="DAF794" s="134"/>
      <c r="DAG794" s="134"/>
      <c r="DAH794" s="134"/>
      <c r="DAI794" s="134"/>
      <c r="DAJ794" s="134"/>
      <c r="DAK794" s="134"/>
      <c r="DAL794" s="134"/>
      <c r="DAM794" s="134"/>
      <c r="DAN794" s="134"/>
      <c r="DAO794" s="134"/>
      <c r="DAP794" s="134"/>
      <c r="DAQ794" s="134"/>
      <c r="DAR794" s="134"/>
      <c r="DAS794" s="134"/>
      <c r="DAT794" s="134"/>
      <c r="DAU794" s="134"/>
      <c r="DAV794" s="134"/>
      <c r="DAW794" s="134"/>
      <c r="DAX794" s="134"/>
      <c r="DAY794" s="134"/>
      <c r="DAZ794" s="134"/>
      <c r="DBA794" s="134"/>
      <c r="DBB794" s="134"/>
      <c r="DBC794" s="134"/>
      <c r="DBD794" s="134"/>
      <c r="DBE794" s="134"/>
      <c r="DBF794" s="134"/>
      <c r="DBG794" s="134"/>
      <c r="DBH794" s="134"/>
      <c r="DBI794" s="134"/>
      <c r="DBJ794" s="134"/>
      <c r="DBK794" s="134"/>
      <c r="DBL794" s="134"/>
      <c r="DBM794" s="134"/>
      <c r="DBN794" s="134"/>
      <c r="DBO794" s="134"/>
      <c r="DBP794" s="134"/>
      <c r="DBQ794" s="134"/>
      <c r="DBR794" s="134"/>
      <c r="DBS794" s="134"/>
      <c r="DBT794" s="134"/>
      <c r="DBU794" s="134"/>
      <c r="DBV794" s="134"/>
      <c r="DBW794" s="134"/>
      <c r="DBX794" s="134"/>
      <c r="DBY794" s="134"/>
      <c r="DBZ794" s="134"/>
      <c r="DCA794" s="134"/>
      <c r="DCB794" s="134"/>
      <c r="DCC794" s="134"/>
      <c r="DCD794" s="134"/>
      <c r="DCE794" s="134"/>
      <c r="DCF794" s="134"/>
      <c r="DCG794" s="134"/>
      <c r="DCH794" s="134"/>
      <c r="DCI794" s="134"/>
      <c r="DCJ794" s="134"/>
      <c r="DCK794" s="134"/>
      <c r="DCL794" s="134"/>
      <c r="DCM794" s="134"/>
      <c r="DCN794" s="134"/>
      <c r="DCO794" s="134"/>
      <c r="DCP794" s="134"/>
      <c r="DCQ794" s="134"/>
      <c r="DCR794" s="134"/>
      <c r="DCS794" s="134"/>
      <c r="DCT794" s="134"/>
      <c r="DCU794" s="134"/>
      <c r="DCV794" s="134"/>
      <c r="DCW794" s="134"/>
      <c r="DCX794" s="134"/>
      <c r="DCY794" s="134"/>
      <c r="DCZ794" s="134"/>
      <c r="DDA794" s="134"/>
      <c r="DDB794" s="134"/>
      <c r="DDC794" s="134"/>
      <c r="DDD794" s="134"/>
      <c r="DDE794" s="134"/>
      <c r="DDF794" s="134"/>
      <c r="DDG794" s="134"/>
      <c r="DDH794" s="134"/>
      <c r="DDI794" s="134"/>
      <c r="DDJ794" s="134"/>
      <c r="DDK794" s="134"/>
      <c r="DDL794" s="134"/>
      <c r="DDM794" s="134"/>
      <c r="DDN794" s="134"/>
      <c r="DDO794" s="134"/>
      <c r="DDP794" s="134"/>
      <c r="DDQ794" s="134"/>
      <c r="DDR794" s="134"/>
      <c r="DDS794" s="134"/>
      <c r="DDT794" s="134"/>
      <c r="DDU794" s="134"/>
      <c r="DDV794" s="134"/>
      <c r="DDW794" s="134"/>
      <c r="DDX794" s="134"/>
      <c r="DDY794" s="134"/>
      <c r="DDZ794" s="134"/>
      <c r="DEA794" s="134"/>
      <c r="DEB794" s="134"/>
      <c r="DEC794" s="134"/>
      <c r="DED794" s="134"/>
      <c r="DEE794" s="134"/>
      <c r="DEF794" s="134"/>
      <c r="DEG794" s="134"/>
      <c r="DEH794" s="134"/>
      <c r="DEI794" s="134"/>
      <c r="DEJ794" s="134"/>
      <c r="DEK794" s="134"/>
      <c r="DEL794" s="134"/>
      <c r="DEM794" s="134"/>
      <c r="DEN794" s="134"/>
      <c r="DEO794" s="134"/>
      <c r="DEP794" s="134"/>
      <c r="DEQ794" s="134"/>
      <c r="DER794" s="134"/>
      <c r="DES794" s="134"/>
      <c r="DET794" s="134"/>
      <c r="DEU794" s="134"/>
      <c r="DEV794" s="134"/>
      <c r="DEW794" s="134"/>
      <c r="DEX794" s="134"/>
      <c r="DEY794" s="134"/>
      <c r="DEZ794" s="134"/>
      <c r="DFA794" s="134"/>
      <c r="DFB794" s="134"/>
      <c r="DFC794" s="134"/>
      <c r="DFD794" s="134"/>
      <c r="DFE794" s="134"/>
      <c r="DFF794" s="134"/>
      <c r="DFG794" s="134"/>
      <c r="DFH794" s="134"/>
      <c r="DFI794" s="134"/>
      <c r="DFJ794" s="134"/>
      <c r="DFK794" s="134"/>
      <c r="DFL794" s="134"/>
      <c r="DFM794" s="134"/>
      <c r="DFN794" s="134"/>
      <c r="DFO794" s="134"/>
      <c r="DFP794" s="134"/>
      <c r="DFQ794" s="134"/>
      <c r="DFR794" s="134"/>
      <c r="DFS794" s="134"/>
      <c r="DFT794" s="134"/>
      <c r="DFU794" s="134"/>
      <c r="DFV794" s="134"/>
      <c r="DFW794" s="134"/>
      <c r="DFX794" s="134"/>
      <c r="DFY794" s="134"/>
      <c r="DFZ794" s="134"/>
      <c r="DGA794" s="134"/>
      <c r="DGB794" s="134"/>
      <c r="DGC794" s="134"/>
      <c r="DGD794" s="134"/>
      <c r="DGE794" s="134"/>
      <c r="DGF794" s="134"/>
      <c r="DGG794" s="134"/>
      <c r="DGH794" s="134"/>
      <c r="DGI794" s="134"/>
      <c r="DGJ794" s="134"/>
      <c r="DGK794" s="134"/>
      <c r="DGL794" s="134"/>
      <c r="DGM794" s="134"/>
      <c r="DGN794" s="134"/>
      <c r="DGO794" s="134"/>
      <c r="DGP794" s="134"/>
      <c r="DGQ794" s="134"/>
      <c r="DGR794" s="134"/>
      <c r="DGS794" s="134"/>
      <c r="DGT794" s="134"/>
      <c r="DGU794" s="134"/>
      <c r="DGV794" s="134"/>
      <c r="DGW794" s="134"/>
      <c r="DGX794" s="134"/>
      <c r="DGY794" s="134"/>
      <c r="DGZ794" s="134"/>
      <c r="DHA794" s="134"/>
      <c r="DHB794" s="134"/>
      <c r="DHC794" s="134"/>
      <c r="DHD794" s="134"/>
      <c r="DHE794" s="134"/>
      <c r="DHF794" s="134"/>
      <c r="DHG794" s="134"/>
      <c r="DHH794" s="134"/>
      <c r="DHI794" s="134"/>
      <c r="DHJ794" s="134"/>
      <c r="DHK794" s="134"/>
      <c r="DHL794" s="134"/>
      <c r="DHM794" s="134"/>
      <c r="DHN794" s="134"/>
      <c r="DHO794" s="134"/>
      <c r="DHP794" s="134"/>
      <c r="DHQ794" s="134"/>
      <c r="DHR794" s="134"/>
      <c r="DHS794" s="134"/>
      <c r="DHT794" s="134"/>
      <c r="DHU794" s="134"/>
      <c r="DHV794" s="134"/>
      <c r="DHW794" s="134"/>
      <c r="DHX794" s="134"/>
      <c r="DHY794" s="134"/>
      <c r="DHZ794" s="134"/>
      <c r="DIA794" s="134"/>
      <c r="DIB794" s="134"/>
      <c r="DIC794" s="134"/>
      <c r="DID794" s="134"/>
      <c r="DIE794" s="134"/>
      <c r="DIF794" s="134"/>
      <c r="DIG794" s="134"/>
      <c r="DIH794" s="134"/>
      <c r="DII794" s="134"/>
      <c r="DIJ794" s="134"/>
      <c r="DIK794" s="134"/>
      <c r="DIL794" s="134"/>
      <c r="DIM794" s="134"/>
      <c r="DIN794" s="134"/>
      <c r="DIO794" s="134"/>
      <c r="DIP794" s="134"/>
      <c r="DIQ794" s="134"/>
      <c r="DIR794" s="134"/>
      <c r="DIS794" s="134"/>
      <c r="DIT794" s="134"/>
      <c r="DIU794" s="134"/>
      <c r="DIV794" s="134"/>
      <c r="DIW794" s="134"/>
      <c r="DIX794" s="134"/>
      <c r="DIY794" s="134"/>
      <c r="DIZ794" s="134"/>
      <c r="DJA794" s="134"/>
      <c r="DJB794" s="134"/>
      <c r="DJC794" s="134"/>
      <c r="DJD794" s="134"/>
      <c r="DJE794" s="134"/>
      <c r="DJF794" s="134"/>
      <c r="DJG794" s="134"/>
      <c r="DJH794" s="134"/>
      <c r="DJI794" s="134"/>
      <c r="DJJ794" s="134"/>
      <c r="DJK794" s="134"/>
      <c r="DJL794" s="134"/>
      <c r="DJM794" s="134"/>
      <c r="DJN794" s="134"/>
      <c r="DJO794" s="134"/>
      <c r="DJP794" s="134"/>
      <c r="DJQ794" s="134"/>
      <c r="DJR794" s="134"/>
      <c r="DJS794" s="134"/>
      <c r="DJT794" s="134"/>
      <c r="DJU794" s="134"/>
      <c r="DJV794" s="134"/>
      <c r="DJW794" s="134"/>
      <c r="DJX794" s="134"/>
      <c r="DJY794" s="134"/>
      <c r="DJZ794" s="134"/>
      <c r="DKA794" s="134"/>
      <c r="DKB794" s="134"/>
      <c r="DKC794" s="134"/>
      <c r="DKD794" s="134"/>
      <c r="DKE794" s="134"/>
      <c r="DKF794" s="134"/>
      <c r="DKG794" s="134"/>
      <c r="DKH794" s="134"/>
      <c r="DKI794" s="134"/>
      <c r="DKJ794" s="134"/>
      <c r="DKK794" s="134"/>
      <c r="DKL794" s="134"/>
      <c r="DKM794" s="134"/>
      <c r="DKN794" s="134"/>
      <c r="DKO794" s="134"/>
      <c r="DKP794" s="134"/>
      <c r="DKQ794" s="134"/>
      <c r="DKR794" s="134"/>
      <c r="DKS794" s="134"/>
      <c r="DKT794" s="134"/>
      <c r="DKU794" s="134"/>
      <c r="DKV794" s="134"/>
      <c r="DKW794" s="134"/>
      <c r="DKX794" s="134"/>
      <c r="DKY794" s="134"/>
      <c r="DKZ794" s="134"/>
      <c r="DLA794" s="134"/>
      <c r="DLB794" s="134"/>
      <c r="DLC794" s="134"/>
      <c r="DLD794" s="134"/>
      <c r="DLE794" s="134"/>
      <c r="DLF794" s="134"/>
      <c r="DLG794" s="134"/>
      <c r="DLH794" s="134"/>
      <c r="DLI794" s="134"/>
      <c r="DLJ794" s="134"/>
      <c r="DLK794" s="134"/>
      <c r="DLL794" s="134"/>
      <c r="DLM794" s="134"/>
      <c r="DLN794" s="134"/>
      <c r="DLO794" s="134"/>
      <c r="DLP794" s="134"/>
      <c r="DLQ794" s="134"/>
      <c r="DLR794" s="134"/>
      <c r="DLS794" s="134"/>
      <c r="DLT794" s="134"/>
      <c r="DLU794" s="134"/>
      <c r="DLV794" s="134"/>
      <c r="DLW794" s="134"/>
      <c r="DLX794" s="134"/>
      <c r="DLY794" s="134"/>
      <c r="DLZ794" s="134"/>
      <c r="DMA794" s="134"/>
      <c r="DMB794" s="134"/>
      <c r="DMC794" s="134"/>
      <c r="DMD794" s="134"/>
      <c r="DME794" s="134"/>
      <c r="DMF794" s="134"/>
      <c r="DMG794" s="134"/>
      <c r="DMH794" s="134"/>
      <c r="DMI794" s="134"/>
      <c r="DMJ794" s="134"/>
      <c r="DMK794" s="134"/>
      <c r="DML794" s="134"/>
      <c r="DMM794" s="134"/>
      <c r="DMN794" s="134"/>
      <c r="DMO794" s="134"/>
      <c r="DMP794" s="134"/>
      <c r="DMQ794" s="134"/>
      <c r="DMR794" s="134"/>
      <c r="DMS794" s="134"/>
      <c r="DMT794" s="134"/>
      <c r="DMU794" s="134"/>
      <c r="DMV794" s="134"/>
      <c r="DMW794" s="134"/>
      <c r="DMX794" s="134"/>
      <c r="DMY794" s="134"/>
      <c r="DMZ794" s="134"/>
      <c r="DNA794" s="134"/>
      <c r="DNB794" s="134"/>
      <c r="DNC794" s="134"/>
      <c r="DND794" s="134"/>
      <c r="DNE794" s="134"/>
      <c r="DNF794" s="134"/>
      <c r="DNG794" s="134"/>
      <c r="DNH794" s="134"/>
      <c r="DNI794" s="134"/>
      <c r="DNJ794" s="134"/>
      <c r="DNK794" s="134"/>
      <c r="DNL794" s="134"/>
      <c r="DNM794" s="134"/>
      <c r="DNN794" s="134"/>
      <c r="DNO794" s="134"/>
      <c r="DNP794" s="134"/>
      <c r="DNQ794" s="134"/>
      <c r="DNR794" s="134"/>
      <c r="DNS794" s="134"/>
    </row>
    <row r="795" spans="1:3087" s="25" customFormat="1" x14ac:dyDescent="0.2">
      <c r="B795" s="18" t="s">
        <v>212</v>
      </c>
      <c r="C795" s="85">
        <f>C757+C769+C783</f>
        <v>198</v>
      </c>
      <c r="D795" s="48"/>
      <c r="E795" s="48">
        <f>E757+E769+E783</f>
        <v>10418093</v>
      </c>
      <c r="F795" s="48"/>
      <c r="G795" s="48">
        <f>G757+G769+G783</f>
        <v>1095780</v>
      </c>
      <c r="H795" s="48"/>
      <c r="I795" s="143"/>
      <c r="J795" s="48"/>
      <c r="K795" s="48">
        <f>K757+K769+K783</f>
        <v>7363416.997440001</v>
      </c>
      <c r="L795" s="48"/>
      <c r="M795" s="48">
        <f>M757+M769+M783</f>
        <v>18877289.997440003</v>
      </c>
      <c r="N795" s="48">
        <v>465000</v>
      </c>
      <c r="O795" s="146">
        <f>M795+N795</f>
        <v>19342289.997440003</v>
      </c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  <c r="AR795" s="134"/>
      <c r="AS795" s="134"/>
      <c r="AT795" s="134"/>
      <c r="AU795" s="134"/>
      <c r="AV795" s="134"/>
      <c r="AW795" s="134"/>
      <c r="AX795" s="134"/>
      <c r="AY795" s="134"/>
      <c r="AZ795" s="134"/>
      <c r="BA795" s="134"/>
      <c r="BB795" s="134"/>
      <c r="BC795" s="134"/>
      <c r="BD795" s="134"/>
      <c r="BE795" s="134"/>
      <c r="BF795" s="134"/>
      <c r="BG795" s="134"/>
      <c r="BH795" s="134"/>
      <c r="BI795" s="134"/>
      <c r="BJ795" s="134"/>
      <c r="BK795" s="134"/>
      <c r="BL795" s="134"/>
      <c r="BM795" s="134"/>
      <c r="BN795" s="134"/>
      <c r="BO795" s="134"/>
      <c r="BP795" s="134"/>
      <c r="BQ795" s="134"/>
      <c r="BR795" s="134"/>
      <c r="BS795" s="134"/>
      <c r="BT795" s="134"/>
      <c r="BU795" s="134"/>
      <c r="BV795" s="134"/>
      <c r="BW795" s="134"/>
      <c r="BX795" s="134"/>
      <c r="BY795" s="134"/>
      <c r="BZ795" s="134"/>
      <c r="CA795" s="134"/>
      <c r="CB795" s="134"/>
      <c r="CC795" s="134"/>
      <c r="CD795" s="134"/>
      <c r="CE795" s="134"/>
      <c r="CF795" s="134"/>
      <c r="CG795" s="134"/>
      <c r="CH795" s="134"/>
      <c r="CI795" s="134"/>
      <c r="CJ795" s="134"/>
      <c r="CK795" s="134"/>
      <c r="CL795" s="134"/>
      <c r="CM795" s="134"/>
      <c r="CN795" s="134"/>
      <c r="CO795" s="134"/>
      <c r="CP795" s="134"/>
      <c r="CQ795" s="134"/>
      <c r="CR795" s="134"/>
      <c r="CS795" s="134"/>
      <c r="CT795" s="134"/>
      <c r="CU795" s="134"/>
      <c r="CV795" s="134"/>
      <c r="CW795" s="134"/>
      <c r="CX795" s="134"/>
      <c r="CY795" s="134"/>
      <c r="CZ795" s="134"/>
      <c r="DA795" s="134"/>
      <c r="DB795" s="134"/>
      <c r="DC795" s="134"/>
      <c r="DD795" s="134"/>
      <c r="DE795" s="134"/>
      <c r="DF795" s="134"/>
      <c r="DG795" s="134"/>
      <c r="DH795" s="134"/>
      <c r="DI795" s="134"/>
      <c r="DJ795" s="134"/>
      <c r="DK795" s="134"/>
      <c r="DL795" s="134"/>
      <c r="DM795" s="134"/>
      <c r="DN795" s="134"/>
      <c r="DO795" s="134"/>
      <c r="DP795" s="134"/>
      <c r="DQ795" s="134"/>
      <c r="DR795" s="134"/>
      <c r="DS795" s="134"/>
      <c r="DT795" s="134"/>
      <c r="DU795" s="134"/>
      <c r="DV795" s="134"/>
      <c r="DW795" s="134"/>
      <c r="DX795" s="134"/>
      <c r="DY795" s="134"/>
      <c r="DZ795" s="134"/>
      <c r="EA795" s="134"/>
      <c r="EB795" s="134"/>
      <c r="EC795" s="134"/>
      <c r="ED795" s="134"/>
      <c r="EE795" s="134"/>
      <c r="EF795" s="134"/>
      <c r="EG795" s="134"/>
      <c r="EH795" s="134"/>
      <c r="EI795" s="134"/>
      <c r="EJ795" s="134"/>
      <c r="EK795" s="134"/>
      <c r="EL795" s="134"/>
      <c r="EM795" s="134"/>
      <c r="EN795" s="134"/>
      <c r="EO795" s="134"/>
      <c r="EP795" s="134"/>
      <c r="EQ795" s="134"/>
      <c r="ER795" s="134"/>
      <c r="ES795" s="134"/>
      <c r="ET795" s="134"/>
      <c r="EU795" s="134"/>
      <c r="EV795" s="134"/>
      <c r="EW795" s="134"/>
      <c r="EX795" s="134"/>
      <c r="EY795" s="134"/>
      <c r="EZ795" s="134"/>
      <c r="FA795" s="134"/>
      <c r="FB795" s="134"/>
      <c r="FC795" s="134"/>
      <c r="FD795" s="134"/>
      <c r="FE795" s="134"/>
      <c r="FF795" s="134"/>
      <c r="FG795" s="134"/>
      <c r="FH795" s="134"/>
      <c r="FI795" s="134"/>
      <c r="FJ795" s="134"/>
      <c r="FK795" s="134"/>
      <c r="FL795" s="134"/>
      <c r="FM795" s="134"/>
      <c r="FN795" s="134"/>
      <c r="FO795" s="134"/>
      <c r="FP795" s="134"/>
      <c r="FQ795" s="134"/>
      <c r="FR795" s="134"/>
      <c r="FS795" s="134"/>
      <c r="FT795" s="134"/>
      <c r="FU795" s="134"/>
      <c r="FV795" s="134"/>
      <c r="FW795" s="134"/>
      <c r="FX795" s="134"/>
      <c r="FY795" s="134"/>
      <c r="FZ795" s="134"/>
      <c r="GA795" s="134"/>
      <c r="GB795" s="134"/>
      <c r="GC795" s="134"/>
      <c r="GD795" s="134"/>
      <c r="GE795" s="134"/>
      <c r="GF795" s="134"/>
      <c r="GG795" s="134"/>
      <c r="GH795" s="134"/>
      <c r="GI795" s="134"/>
      <c r="GJ795" s="134"/>
      <c r="GK795" s="134"/>
      <c r="GL795" s="134"/>
      <c r="GM795" s="134"/>
      <c r="GN795" s="134"/>
      <c r="GO795" s="134"/>
      <c r="GP795" s="134"/>
      <c r="GQ795" s="134"/>
      <c r="GR795" s="134"/>
      <c r="GS795" s="134"/>
      <c r="GT795" s="134"/>
      <c r="GU795" s="134"/>
      <c r="GV795" s="134"/>
      <c r="GW795" s="134"/>
      <c r="GX795" s="134"/>
      <c r="GY795" s="134"/>
      <c r="GZ795" s="134"/>
      <c r="HA795" s="134"/>
      <c r="HB795" s="134"/>
      <c r="HC795" s="134"/>
      <c r="HD795" s="134"/>
      <c r="HE795" s="134"/>
      <c r="HF795" s="134"/>
      <c r="HG795" s="134"/>
      <c r="HH795" s="134"/>
      <c r="HI795" s="134"/>
      <c r="HJ795" s="134"/>
      <c r="HK795" s="134"/>
      <c r="HL795" s="134"/>
      <c r="HM795" s="134"/>
      <c r="HN795" s="134"/>
      <c r="HO795" s="134"/>
      <c r="HP795" s="134"/>
      <c r="HQ795" s="134"/>
      <c r="HR795" s="134"/>
      <c r="HS795" s="134"/>
      <c r="HT795" s="134"/>
      <c r="HU795" s="134"/>
      <c r="HV795" s="134"/>
      <c r="HW795" s="134"/>
      <c r="HX795" s="134"/>
      <c r="HY795" s="134"/>
      <c r="HZ795" s="134"/>
      <c r="IA795" s="134"/>
      <c r="IB795" s="134"/>
      <c r="IC795" s="134"/>
      <c r="ID795" s="134"/>
      <c r="IE795" s="134"/>
      <c r="IF795" s="134"/>
      <c r="IG795" s="134"/>
      <c r="IH795" s="134"/>
      <c r="II795" s="134"/>
      <c r="IJ795" s="134"/>
      <c r="IK795" s="134"/>
      <c r="IL795" s="134"/>
      <c r="IM795" s="134"/>
      <c r="IN795" s="134"/>
      <c r="IO795" s="134"/>
      <c r="IP795" s="134"/>
      <c r="IQ795" s="134"/>
      <c r="IR795" s="134"/>
      <c r="IS795" s="134"/>
      <c r="IT795" s="134"/>
      <c r="IU795" s="134"/>
      <c r="IV795" s="134"/>
      <c r="IW795" s="134"/>
      <c r="IX795" s="134"/>
      <c r="IY795" s="134"/>
      <c r="IZ795" s="134"/>
      <c r="JA795" s="134"/>
      <c r="JB795" s="134"/>
      <c r="JC795" s="134"/>
      <c r="JD795" s="134"/>
      <c r="JE795" s="134"/>
      <c r="JF795" s="134"/>
      <c r="JG795" s="134"/>
      <c r="JH795" s="134"/>
      <c r="JI795" s="134"/>
      <c r="JJ795" s="134"/>
      <c r="JK795" s="134"/>
      <c r="JL795" s="134"/>
      <c r="JM795" s="134"/>
      <c r="JN795" s="134"/>
      <c r="JO795" s="134"/>
      <c r="JP795" s="134"/>
      <c r="JQ795" s="134"/>
      <c r="JR795" s="134"/>
      <c r="JS795" s="134"/>
      <c r="JT795" s="134"/>
      <c r="JU795" s="134"/>
      <c r="JV795" s="134"/>
      <c r="JW795" s="134"/>
      <c r="JX795" s="134"/>
      <c r="JY795" s="134"/>
      <c r="JZ795" s="134"/>
      <c r="KA795" s="134"/>
      <c r="KB795" s="134"/>
      <c r="KC795" s="134"/>
      <c r="KD795" s="134"/>
      <c r="KE795" s="134"/>
      <c r="KF795" s="134"/>
      <c r="KG795" s="134"/>
      <c r="KH795" s="134"/>
      <c r="KI795" s="134"/>
      <c r="KJ795" s="134"/>
      <c r="KK795" s="134"/>
      <c r="KL795" s="134"/>
      <c r="KM795" s="134"/>
      <c r="KN795" s="134"/>
      <c r="KO795" s="134"/>
      <c r="KP795" s="134"/>
      <c r="KQ795" s="134"/>
      <c r="KR795" s="134"/>
      <c r="KS795" s="134"/>
      <c r="KT795" s="134"/>
      <c r="KU795" s="134"/>
      <c r="KV795" s="134"/>
      <c r="KW795" s="134"/>
      <c r="KX795" s="134"/>
      <c r="KY795" s="134"/>
      <c r="KZ795" s="134"/>
      <c r="LA795" s="134"/>
      <c r="LB795" s="134"/>
      <c r="LC795" s="134"/>
      <c r="LD795" s="134"/>
      <c r="LE795" s="134"/>
      <c r="LF795" s="134"/>
      <c r="LG795" s="134"/>
      <c r="LH795" s="134"/>
      <c r="LI795" s="134"/>
      <c r="LJ795" s="134"/>
      <c r="LK795" s="134"/>
      <c r="LL795" s="134"/>
      <c r="LM795" s="134"/>
      <c r="LN795" s="134"/>
      <c r="LO795" s="134"/>
      <c r="LP795" s="134"/>
      <c r="LQ795" s="134"/>
      <c r="LR795" s="134"/>
      <c r="LS795" s="134"/>
      <c r="LT795" s="134"/>
      <c r="LU795" s="134"/>
      <c r="LV795" s="134"/>
      <c r="LW795" s="134"/>
      <c r="LX795" s="134"/>
      <c r="LY795" s="134"/>
      <c r="LZ795" s="134"/>
      <c r="MA795" s="134"/>
      <c r="MB795" s="134"/>
      <c r="MC795" s="134"/>
      <c r="MD795" s="134"/>
      <c r="ME795" s="134"/>
      <c r="MF795" s="134"/>
      <c r="MG795" s="134"/>
      <c r="MH795" s="134"/>
      <c r="MI795" s="134"/>
      <c r="MJ795" s="134"/>
      <c r="MK795" s="134"/>
      <c r="ML795" s="134"/>
      <c r="MM795" s="134"/>
      <c r="MN795" s="134"/>
      <c r="MO795" s="134"/>
      <c r="MP795" s="134"/>
      <c r="MQ795" s="134"/>
      <c r="MR795" s="134"/>
      <c r="MS795" s="134"/>
      <c r="MT795" s="134"/>
      <c r="MU795" s="134"/>
      <c r="MV795" s="134"/>
      <c r="MW795" s="134"/>
      <c r="MX795" s="134"/>
      <c r="MY795" s="134"/>
      <c r="MZ795" s="134"/>
      <c r="NA795" s="134"/>
      <c r="NB795" s="134"/>
      <c r="NC795" s="134"/>
      <c r="ND795" s="134"/>
      <c r="NE795" s="134"/>
      <c r="NF795" s="134"/>
      <c r="NG795" s="134"/>
      <c r="NH795" s="134"/>
      <c r="NI795" s="134"/>
      <c r="NJ795" s="134"/>
      <c r="NK795" s="134"/>
      <c r="NL795" s="134"/>
      <c r="NM795" s="134"/>
      <c r="NN795" s="134"/>
      <c r="NO795" s="134"/>
      <c r="NP795" s="134"/>
      <c r="NQ795" s="134"/>
      <c r="NR795" s="134"/>
      <c r="NS795" s="134"/>
      <c r="NT795" s="134"/>
      <c r="NU795" s="134"/>
      <c r="NV795" s="134"/>
      <c r="NW795" s="134"/>
      <c r="NX795" s="134"/>
      <c r="NY795" s="134"/>
      <c r="NZ795" s="134"/>
      <c r="OA795" s="134"/>
      <c r="OB795" s="134"/>
      <c r="OC795" s="134"/>
      <c r="OD795" s="134"/>
      <c r="OE795" s="134"/>
      <c r="OF795" s="134"/>
      <c r="OG795" s="134"/>
      <c r="OH795" s="134"/>
      <c r="OI795" s="134"/>
      <c r="OJ795" s="134"/>
      <c r="OK795" s="134"/>
      <c r="OL795" s="134"/>
      <c r="OM795" s="134"/>
      <c r="ON795" s="134"/>
      <c r="OO795" s="134"/>
      <c r="OP795" s="134"/>
      <c r="OQ795" s="134"/>
      <c r="OR795" s="134"/>
      <c r="OS795" s="134"/>
      <c r="OT795" s="134"/>
      <c r="OU795" s="134"/>
      <c r="OV795" s="134"/>
      <c r="OW795" s="134"/>
      <c r="OX795" s="134"/>
      <c r="OY795" s="134"/>
      <c r="OZ795" s="134"/>
      <c r="PA795" s="134"/>
      <c r="PB795" s="134"/>
      <c r="PC795" s="134"/>
      <c r="PD795" s="134"/>
      <c r="PE795" s="134"/>
      <c r="PF795" s="134"/>
      <c r="PG795" s="134"/>
      <c r="PH795" s="134"/>
      <c r="PI795" s="134"/>
      <c r="PJ795" s="134"/>
      <c r="PK795" s="134"/>
      <c r="PL795" s="134"/>
      <c r="PM795" s="134"/>
      <c r="PN795" s="134"/>
      <c r="PO795" s="134"/>
      <c r="PP795" s="134"/>
      <c r="PQ795" s="134"/>
      <c r="PR795" s="134"/>
      <c r="PS795" s="134"/>
      <c r="PT795" s="134"/>
      <c r="PU795" s="134"/>
      <c r="PV795" s="134"/>
      <c r="PW795" s="134"/>
      <c r="PX795" s="134"/>
      <c r="PY795" s="134"/>
      <c r="PZ795" s="134"/>
      <c r="QA795" s="134"/>
      <c r="QB795" s="134"/>
      <c r="QC795" s="134"/>
      <c r="QD795" s="134"/>
      <c r="QE795" s="134"/>
      <c r="QF795" s="134"/>
      <c r="QG795" s="134"/>
      <c r="QH795" s="134"/>
      <c r="QI795" s="134"/>
      <c r="QJ795" s="134"/>
      <c r="QK795" s="134"/>
      <c r="QL795" s="134"/>
      <c r="QM795" s="134"/>
      <c r="QN795" s="134"/>
      <c r="QO795" s="134"/>
      <c r="QP795" s="134"/>
      <c r="QQ795" s="134"/>
      <c r="QR795" s="134"/>
      <c r="QS795" s="134"/>
      <c r="QT795" s="134"/>
      <c r="QU795" s="134"/>
      <c r="QV795" s="134"/>
      <c r="QW795" s="134"/>
      <c r="QX795" s="134"/>
      <c r="QY795" s="134"/>
      <c r="QZ795" s="134"/>
      <c r="RA795" s="134"/>
      <c r="RB795" s="134"/>
      <c r="RC795" s="134"/>
      <c r="RD795" s="134"/>
      <c r="RE795" s="134"/>
      <c r="RF795" s="134"/>
      <c r="RG795" s="134"/>
      <c r="RH795" s="134"/>
      <c r="RI795" s="134"/>
      <c r="RJ795" s="134"/>
      <c r="RK795" s="134"/>
      <c r="RL795" s="134"/>
      <c r="RM795" s="134"/>
      <c r="RN795" s="134"/>
      <c r="RO795" s="134"/>
      <c r="RP795" s="134"/>
      <c r="RQ795" s="134"/>
      <c r="RR795" s="134"/>
      <c r="RS795" s="134"/>
      <c r="RT795" s="134"/>
      <c r="RU795" s="134"/>
      <c r="RV795" s="134"/>
      <c r="RW795" s="134"/>
      <c r="RX795" s="134"/>
      <c r="RY795" s="134"/>
      <c r="RZ795" s="134"/>
      <c r="SA795" s="134"/>
      <c r="SB795" s="134"/>
      <c r="SC795" s="134"/>
      <c r="SD795" s="134"/>
      <c r="SE795" s="134"/>
      <c r="SF795" s="134"/>
      <c r="SG795" s="134"/>
      <c r="SH795" s="134"/>
      <c r="SI795" s="134"/>
      <c r="SJ795" s="134"/>
      <c r="SK795" s="134"/>
      <c r="SL795" s="134"/>
      <c r="SM795" s="134"/>
      <c r="SN795" s="134"/>
      <c r="SO795" s="134"/>
      <c r="SP795" s="134"/>
      <c r="SQ795" s="134"/>
      <c r="SR795" s="134"/>
      <c r="SS795" s="134"/>
      <c r="ST795" s="134"/>
      <c r="SU795" s="134"/>
      <c r="SV795" s="134"/>
      <c r="SW795" s="134"/>
      <c r="SX795" s="134"/>
      <c r="SY795" s="134"/>
      <c r="SZ795" s="134"/>
      <c r="TA795" s="134"/>
      <c r="TB795" s="134"/>
      <c r="TC795" s="134"/>
      <c r="TD795" s="134"/>
      <c r="TE795" s="134"/>
      <c r="TF795" s="134"/>
      <c r="TG795" s="134"/>
      <c r="TH795" s="134"/>
      <c r="TI795" s="134"/>
      <c r="TJ795" s="134"/>
      <c r="TK795" s="134"/>
      <c r="TL795" s="134"/>
      <c r="TM795" s="134"/>
      <c r="TN795" s="134"/>
      <c r="TO795" s="134"/>
      <c r="TP795" s="134"/>
      <c r="TQ795" s="134"/>
      <c r="TR795" s="134"/>
      <c r="TS795" s="134"/>
      <c r="TT795" s="134"/>
      <c r="TU795" s="134"/>
      <c r="TV795" s="134"/>
      <c r="TW795" s="134"/>
      <c r="TX795" s="134"/>
      <c r="TY795" s="134"/>
      <c r="TZ795" s="134"/>
      <c r="UA795" s="134"/>
      <c r="UB795" s="134"/>
      <c r="UC795" s="134"/>
      <c r="UD795" s="134"/>
      <c r="UE795" s="134"/>
      <c r="UF795" s="134"/>
      <c r="UG795" s="134"/>
      <c r="UH795" s="134"/>
      <c r="UI795" s="134"/>
      <c r="UJ795" s="134"/>
      <c r="UK795" s="134"/>
      <c r="UL795" s="134"/>
      <c r="UM795" s="134"/>
      <c r="UN795" s="134"/>
      <c r="UO795" s="134"/>
      <c r="UP795" s="134"/>
      <c r="UQ795" s="134"/>
      <c r="UR795" s="134"/>
      <c r="US795" s="134"/>
      <c r="UT795" s="134"/>
      <c r="UU795" s="134"/>
      <c r="UV795" s="134"/>
      <c r="UW795" s="134"/>
      <c r="UX795" s="134"/>
      <c r="UY795" s="134"/>
      <c r="UZ795" s="134"/>
      <c r="VA795" s="134"/>
      <c r="VB795" s="134"/>
      <c r="VC795" s="134"/>
      <c r="VD795" s="134"/>
      <c r="VE795" s="134"/>
      <c r="VF795" s="134"/>
      <c r="VG795" s="134"/>
      <c r="VH795" s="134"/>
      <c r="VI795" s="134"/>
      <c r="VJ795" s="134"/>
      <c r="VK795" s="134"/>
      <c r="VL795" s="134"/>
      <c r="VM795" s="134"/>
      <c r="VN795" s="134"/>
      <c r="VO795" s="134"/>
      <c r="VP795" s="134"/>
      <c r="VQ795" s="134"/>
      <c r="VR795" s="134"/>
      <c r="VS795" s="134"/>
      <c r="VT795" s="134"/>
      <c r="VU795" s="134"/>
      <c r="VV795" s="134"/>
      <c r="VW795" s="134"/>
      <c r="VX795" s="134"/>
      <c r="VY795" s="134"/>
      <c r="VZ795" s="134"/>
      <c r="WA795" s="134"/>
      <c r="WB795" s="134"/>
      <c r="WC795" s="134"/>
      <c r="WD795" s="134"/>
      <c r="WE795" s="134"/>
      <c r="WF795" s="134"/>
      <c r="WG795" s="134"/>
      <c r="WH795" s="134"/>
      <c r="WI795" s="134"/>
      <c r="WJ795" s="134"/>
      <c r="WK795" s="134"/>
      <c r="WL795" s="134"/>
      <c r="WM795" s="134"/>
      <c r="WN795" s="134"/>
      <c r="WO795" s="134"/>
      <c r="WP795" s="134"/>
      <c r="WQ795" s="134"/>
      <c r="WR795" s="134"/>
      <c r="WS795" s="134"/>
      <c r="WT795" s="134"/>
      <c r="WU795" s="134"/>
      <c r="WV795" s="134"/>
      <c r="WW795" s="134"/>
      <c r="WX795" s="134"/>
      <c r="WY795" s="134"/>
      <c r="WZ795" s="134"/>
      <c r="XA795" s="134"/>
      <c r="XB795" s="134"/>
      <c r="XC795" s="134"/>
      <c r="XD795" s="134"/>
      <c r="XE795" s="134"/>
      <c r="XF795" s="134"/>
      <c r="XG795" s="134"/>
      <c r="XH795" s="134"/>
      <c r="XI795" s="134"/>
      <c r="XJ795" s="134"/>
      <c r="XK795" s="134"/>
      <c r="XL795" s="134"/>
      <c r="XM795" s="134"/>
      <c r="XN795" s="134"/>
      <c r="XO795" s="134"/>
      <c r="XP795" s="134"/>
      <c r="XQ795" s="134"/>
      <c r="XR795" s="134"/>
      <c r="XS795" s="134"/>
      <c r="XT795" s="134"/>
      <c r="XU795" s="134"/>
      <c r="XV795" s="134"/>
      <c r="XW795" s="134"/>
      <c r="XX795" s="134"/>
      <c r="XY795" s="134"/>
      <c r="XZ795" s="134"/>
      <c r="YA795" s="134"/>
      <c r="YB795" s="134"/>
      <c r="YC795" s="134"/>
      <c r="YD795" s="134"/>
      <c r="YE795" s="134"/>
      <c r="YF795" s="134"/>
      <c r="YG795" s="134"/>
      <c r="YH795" s="134"/>
      <c r="YI795" s="134"/>
      <c r="YJ795" s="134"/>
      <c r="YK795" s="134"/>
      <c r="YL795" s="134"/>
      <c r="YM795" s="134"/>
      <c r="YN795" s="134"/>
      <c r="YO795" s="134"/>
      <c r="YP795" s="134"/>
      <c r="YQ795" s="134"/>
      <c r="YR795" s="134"/>
      <c r="YS795" s="134"/>
      <c r="YT795" s="134"/>
      <c r="YU795" s="134"/>
      <c r="YV795" s="134"/>
      <c r="YW795" s="134"/>
      <c r="YX795" s="134"/>
      <c r="YY795" s="134"/>
      <c r="YZ795" s="134"/>
      <c r="ZA795" s="134"/>
      <c r="ZB795" s="134"/>
      <c r="ZC795" s="134"/>
      <c r="ZD795" s="134"/>
      <c r="ZE795" s="134"/>
      <c r="ZF795" s="134"/>
      <c r="ZG795" s="134"/>
      <c r="ZH795" s="134"/>
      <c r="ZI795" s="134"/>
      <c r="ZJ795" s="134"/>
      <c r="ZK795" s="134"/>
      <c r="ZL795" s="134"/>
      <c r="ZM795" s="134"/>
      <c r="ZN795" s="134"/>
      <c r="ZO795" s="134"/>
      <c r="ZP795" s="134"/>
      <c r="ZQ795" s="134"/>
      <c r="ZR795" s="134"/>
      <c r="ZS795" s="134"/>
      <c r="ZT795" s="134"/>
      <c r="ZU795" s="134"/>
      <c r="ZV795" s="134"/>
      <c r="ZW795" s="134"/>
      <c r="ZX795" s="134"/>
      <c r="ZY795" s="134"/>
      <c r="ZZ795" s="134"/>
      <c r="AAA795" s="134"/>
      <c r="AAB795" s="134"/>
      <c r="AAC795" s="134"/>
      <c r="AAD795" s="134"/>
      <c r="AAE795" s="134"/>
      <c r="AAF795" s="134"/>
      <c r="AAG795" s="134"/>
      <c r="AAH795" s="134"/>
      <c r="AAI795" s="134"/>
      <c r="AAJ795" s="134"/>
      <c r="AAK795" s="134"/>
      <c r="AAL795" s="134"/>
      <c r="AAM795" s="134"/>
      <c r="AAN795" s="134"/>
      <c r="AAO795" s="134"/>
      <c r="AAP795" s="134"/>
      <c r="AAQ795" s="134"/>
      <c r="AAR795" s="134"/>
      <c r="AAS795" s="134"/>
      <c r="AAT795" s="134"/>
      <c r="AAU795" s="134"/>
      <c r="AAV795" s="134"/>
      <c r="AAW795" s="134"/>
      <c r="AAX795" s="134"/>
      <c r="AAY795" s="134"/>
      <c r="AAZ795" s="134"/>
      <c r="ABA795" s="134"/>
      <c r="ABB795" s="134"/>
      <c r="ABC795" s="134"/>
      <c r="ABD795" s="134"/>
      <c r="ABE795" s="134"/>
      <c r="ABF795" s="134"/>
      <c r="ABG795" s="134"/>
      <c r="ABH795" s="134"/>
      <c r="ABI795" s="134"/>
      <c r="ABJ795" s="134"/>
      <c r="ABK795" s="134"/>
      <c r="ABL795" s="134"/>
      <c r="ABM795" s="134"/>
      <c r="ABN795" s="134"/>
      <c r="ABO795" s="134"/>
      <c r="ABP795" s="134"/>
      <c r="ABQ795" s="134"/>
      <c r="ABR795" s="134"/>
      <c r="ABS795" s="134"/>
      <c r="ABT795" s="134"/>
      <c r="ABU795" s="134"/>
      <c r="ABV795" s="134"/>
      <c r="ABW795" s="134"/>
      <c r="ABX795" s="134"/>
      <c r="ABY795" s="134"/>
      <c r="ABZ795" s="134"/>
      <c r="ACA795" s="134"/>
      <c r="ACB795" s="134"/>
      <c r="ACC795" s="134"/>
      <c r="ACD795" s="134"/>
      <c r="ACE795" s="134"/>
      <c r="ACF795" s="134"/>
      <c r="ACG795" s="134"/>
      <c r="ACH795" s="134"/>
      <c r="ACI795" s="134"/>
      <c r="ACJ795" s="134"/>
      <c r="ACK795" s="134"/>
      <c r="ACL795" s="134"/>
      <c r="ACM795" s="134"/>
      <c r="ACN795" s="134"/>
      <c r="ACO795" s="134"/>
      <c r="ACP795" s="134"/>
      <c r="ACQ795" s="134"/>
      <c r="ACR795" s="134"/>
      <c r="ACS795" s="134"/>
      <c r="ACT795" s="134"/>
      <c r="ACU795" s="134"/>
      <c r="ACV795" s="134"/>
      <c r="ACW795" s="134"/>
      <c r="ACX795" s="134"/>
      <c r="ACY795" s="134"/>
      <c r="ACZ795" s="134"/>
      <c r="ADA795" s="134"/>
      <c r="ADB795" s="134"/>
      <c r="ADC795" s="134"/>
      <c r="ADD795" s="134"/>
      <c r="ADE795" s="134"/>
      <c r="ADF795" s="134"/>
      <c r="ADG795" s="134"/>
      <c r="ADH795" s="134"/>
      <c r="ADI795" s="134"/>
      <c r="ADJ795" s="134"/>
      <c r="ADK795" s="134"/>
      <c r="ADL795" s="134"/>
      <c r="ADM795" s="134"/>
      <c r="ADN795" s="134"/>
      <c r="ADO795" s="134"/>
      <c r="ADP795" s="134"/>
      <c r="ADQ795" s="134"/>
      <c r="ADR795" s="134"/>
      <c r="ADS795" s="134"/>
      <c r="ADT795" s="134"/>
      <c r="ADU795" s="134"/>
      <c r="ADV795" s="134"/>
      <c r="ADW795" s="134"/>
      <c r="ADX795" s="134"/>
      <c r="ADY795" s="134"/>
      <c r="ADZ795" s="134"/>
      <c r="AEA795" s="134"/>
      <c r="AEB795" s="134"/>
      <c r="AEC795" s="134"/>
      <c r="AED795" s="134"/>
      <c r="AEE795" s="134"/>
      <c r="AEF795" s="134"/>
      <c r="AEG795" s="134"/>
      <c r="AEH795" s="134"/>
      <c r="AEI795" s="134"/>
      <c r="AEJ795" s="134"/>
      <c r="AEK795" s="134"/>
      <c r="AEL795" s="134"/>
      <c r="AEM795" s="134"/>
      <c r="AEN795" s="134"/>
      <c r="AEO795" s="134"/>
      <c r="AEP795" s="134"/>
      <c r="AEQ795" s="134"/>
      <c r="AER795" s="134"/>
      <c r="AES795" s="134"/>
      <c r="AET795" s="134"/>
      <c r="AEU795" s="134"/>
      <c r="AEV795" s="134"/>
      <c r="AEW795" s="134"/>
      <c r="AEX795" s="134"/>
      <c r="AEY795" s="134"/>
      <c r="AEZ795" s="134"/>
      <c r="AFA795" s="134"/>
      <c r="AFB795" s="134"/>
      <c r="AFC795" s="134"/>
      <c r="AFD795" s="134"/>
      <c r="AFE795" s="134"/>
      <c r="AFF795" s="134"/>
      <c r="AFG795" s="134"/>
      <c r="AFH795" s="134"/>
      <c r="AFI795" s="134"/>
      <c r="AFJ795" s="134"/>
      <c r="AFK795" s="134"/>
      <c r="AFL795" s="134"/>
      <c r="AFM795" s="134"/>
      <c r="AFN795" s="134"/>
      <c r="AFO795" s="134"/>
      <c r="AFP795" s="134"/>
      <c r="AFQ795" s="134"/>
      <c r="AFR795" s="134"/>
      <c r="AFS795" s="134"/>
      <c r="AFT795" s="134"/>
      <c r="AFU795" s="134"/>
      <c r="AFV795" s="134"/>
      <c r="AFW795" s="134"/>
      <c r="AFX795" s="134"/>
      <c r="AFY795" s="134"/>
      <c r="AFZ795" s="134"/>
      <c r="AGA795" s="134"/>
      <c r="AGB795" s="134"/>
      <c r="AGC795" s="134"/>
      <c r="AGD795" s="134"/>
      <c r="AGE795" s="134"/>
      <c r="AGF795" s="134"/>
      <c r="AGG795" s="134"/>
      <c r="AGH795" s="134"/>
      <c r="AGI795" s="134"/>
      <c r="AGJ795" s="134"/>
      <c r="AGK795" s="134"/>
      <c r="AGL795" s="134"/>
      <c r="AGM795" s="134"/>
      <c r="AGN795" s="134"/>
      <c r="AGO795" s="134"/>
      <c r="AGP795" s="134"/>
      <c r="AGQ795" s="134"/>
      <c r="AGR795" s="134"/>
      <c r="AGS795" s="134"/>
      <c r="AGT795" s="134"/>
      <c r="AGU795" s="134"/>
      <c r="AGV795" s="134"/>
      <c r="AGW795" s="134"/>
      <c r="AGX795" s="134"/>
      <c r="AGY795" s="134"/>
      <c r="AGZ795" s="134"/>
      <c r="AHA795" s="134"/>
      <c r="AHB795" s="134"/>
      <c r="AHC795" s="134"/>
      <c r="AHD795" s="134"/>
      <c r="AHE795" s="134"/>
      <c r="AHF795" s="134"/>
      <c r="AHG795" s="134"/>
      <c r="AHH795" s="134"/>
      <c r="AHI795" s="134"/>
      <c r="AHJ795" s="134"/>
      <c r="AHK795" s="134"/>
      <c r="AHL795" s="134"/>
      <c r="AHM795" s="134"/>
      <c r="AHN795" s="134"/>
      <c r="AHO795" s="134"/>
      <c r="AHP795" s="134"/>
      <c r="AHQ795" s="134"/>
      <c r="AHR795" s="134"/>
      <c r="AHS795" s="134"/>
      <c r="AHT795" s="134"/>
      <c r="AHU795" s="134"/>
      <c r="AHV795" s="134"/>
      <c r="AHW795" s="134"/>
      <c r="AHX795" s="134"/>
      <c r="AHY795" s="134"/>
      <c r="AHZ795" s="134"/>
      <c r="AIA795" s="134"/>
      <c r="AIB795" s="134"/>
      <c r="AIC795" s="134"/>
      <c r="AID795" s="134"/>
      <c r="AIE795" s="134"/>
      <c r="AIF795" s="134"/>
      <c r="AIG795" s="134"/>
      <c r="AIH795" s="134"/>
      <c r="AII795" s="134"/>
      <c r="AIJ795" s="134"/>
      <c r="AIK795" s="134"/>
      <c r="AIL795" s="134"/>
      <c r="AIM795" s="134"/>
      <c r="AIN795" s="134"/>
      <c r="AIO795" s="134"/>
      <c r="AIP795" s="134"/>
      <c r="AIQ795" s="134"/>
      <c r="AIR795" s="134"/>
      <c r="AIS795" s="134"/>
      <c r="AIT795" s="134"/>
      <c r="AIU795" s="134"/>
      <c r="AIV795" s="134"/>
      <c r="AIW795" s="134"/>
      <c r="AIX795" s="134"/>
      <c r="AIY795" s="134"/>
      <c r="AIZ795" s="134"/>
      <c r="AJA795" s="134"/>
      <c r="AJB795" s="134"/>
      <c r="AJC795" s="134"/>
      <c r="AJD795" s="134"/>
      <c r="AJE795" s="134"/>
      <c r="AJF795" s="134"/>
      <c r="AJG795" s="134"/>
      <c r="AJH795" s="134"/>
      <c r="AJI795" s="134"/>
      <c r="AJJ795" s="134"/>
      <c r="AJK795" s="134"/>
      <c r="AJL795" s="134"/>
      <c r="AJM795" s="134"/>
      <c r="AJN795" s="134"/>
      <c r="AJO795" s="134"/>
      <c r="AJP795" s="134"/>
      <c r="AJQ795" s="134"/>
      <c r="AJR795" s="134"/>
      <c r="AJS795" s="134"/>
      <c r="AJT795" s="134"/>
      <c r="AJU795" s="134"/>
      <c r="AJV795" s="134"/>
      <c r="AJW795" s="134"/>
      <c r="AJX795" s="134"/>
      <c r="AJY795" s="134"/>
      <c r="AJZ795" s="134"/>
      <c r="AKA795" s="134"/>
      <c r="AKB795" s="134"/>
      <c r="AKC795" s="134"/>
      <c r="AKD795" s="134"/>
      <c r="AKE795" s="134"/>
      <c r="AKF795" s="134"/>
      <c r="AKG795" s="134"/>
      <c r="AKH795" s="134"/>
      <c r="AKI795" s="134"/>
      <c r="AKJ795" s="134"/>
      <c r="AKK795" s="134"/>
      <c r="AKL795" s="134"/>
      <c r="AKM795" s="134"/>
      <c r="AKN795" s="134"/>
      <c r="AKO795" s="134"/>
      <c r="AKP795" s="134"/>
      <c r="AKQ795" s="134"/>
      <c r="AKR795" s="134"/>
      <c r="AKS795" s="134"/>
      <c r="AKT795" s="134"/>
      <c r="AKU795" s="134"/>
      <c r="AKV795" s="134"/>
      <c r="AKW795" s="134"/>
      <c r="AKX795" s="134"/>
      <c r="AKY795" s="134"/>
      <c r="AKZ795" s="134"/>
      <c r="ALA795" s="134"/>
      <c r="ALB795" s="134"/>
      <c r="ALC795" s="134"/>
      <c r="ALD795" s="134"/>
      <c r="ALE795" s="134"/>
      <c r="ALF795" s="134"/>
      <c r="ALG795" s="134"/>
      <c r="ALH795" s="134"/>
      <c r="ALI795" s="134"/>
      <c r="ALJ795" s="134"/>
      <c r="ALK795" s="134"/>
      <c r="ALL795" s="134"/>
      <c r="ALM795" s="134"/>
      <c r="ALN795" s="134"/>
      <c r="ALO795" s="134"/>
      <c r="ALP795" s="134"/>
      <c r="ALQ795" s="134"/>
      <c r="ALR795" s="134"/>
      <c r="ALS795" s="134"/>
      <c r="ALT795" s="134"/>
      <c r="ALU795" s="134"/>
      <c r="ALV795" s="134"/>
      <c r="ALW795" s="134"/>
      <c r="ALX795" s="134"/>
      <c r="ALY795" s="134"/>
      <c r="ALZ795" s="134"/>
      <c r="AMA795" s="134"/>
      <c r="AMB795" s="134"/>
      <c r="AMC795" s="134"/>
      <c r="AMD795" s="134"/>
      <c r="AME795" s="134"/>
      <c r="AMF795" s="134"/>
      <c r="AMG795" s="134"/>
      <c r="AMH795" s="134"/>
      <c r="AMI795" s="134"/>
      <c r="AMJ795" s="134"/>
      <c r="AMK795" s="134"/>
      <c r="AML795" s="134"/>
      <c r="AMM795" s="134"/>
      <c r="AMN795" s="134"/>
      <c r="AMO795" s="134"/>
      <c r="AMP795" s="134"/>
      <c r="AMQ795" s="134"/>
      <c r="AMR795" s="134"/>
      <c r="AMS795" s="134"/>
      <c r="AMT795" s="134"/>
      <c r="AMU795" s="134"/>
      <c r="AMV795" s="134"/>
      <c r="AMW795" s="134"/>
      <c r="AMX795" s="134"/>
      <c r="AMY795" s="134"/>
      <c r="AMZ795" s="134"/>
      <c r="ANA795" s="134"/>
      <c r="ANB795" s="134"/>
      <c r="ANC795" s="134"/>
      <c r="AND795" s="134"/>
      <c r="ANE795" s="134"/>
      <c r="ANF795" s="134"/>
      <c r="ANG795" s="134"/>
      <c r="ANH795" s="134"/>
      <c r="ANI795" s="134"/>
      <c r="ANJ795" s="134"/>
      <c r="ANK795" s="134"/>
      <c r="ANL795" s="134"/>
      <c r="ANM795" s="134"/>
      <c r="ANN795" s="134"/>
      <c r="ANO795" s="134"/>
      <c r="ANP795" s="134"/>
      <c r="ANQ795" s="134"/>
      <c r="ANR795" s="134"/>
      <c r="ANS795" s="134"/>
      <c r="ANT795" s="134"/>
      <c r="ANU795" s="134"/>
      <c r="ANV795" s="134"/>
      <c r="ANW795" s="134"/>
      <c r="ANX795" s="134"/>
      <c r="ANY795" s="134"/>
      <c r="ANZ795" s="134"/>
      <c r="AOA795" s="134"/>
      <c r="AOB795" s="134"/>
      <c r="AOC795" s="134"/>
      <c r="AOD795" s="134"/>
      <c r="AOE795" s="134"/>
      <c r="AOF795" s="134"/>
      <c r="AOG795" s="134"/>
      <c r="AOH795" s="134"/>
      <c r="AOI795" s="134"/>
      <c r="AOJ795" s="134"/>
      <c r="AOK795" s="134"/>
      <c r="AOL795" s="134"/>
      <c r="AOM795" s="134"/>
      <c r="AON795" s="134"/>
      <c r="AOO795" s="134"/>
      <c r="AOP795" s="134"/>
      <c r="AOQ795" s="134"/>
      <c r="AOR795" s="134"/>
      <c r="AOS795" s="134"/>
      <c r="AOT795" s="134"/>
      <c r="AOU795" s="134"/>
      <c r="AOV795" s="134"/>
      <c r="AOW795" s="134"/>
      <c r="AOX795" s="134"/>
      <c r="AOY795" s="134"/>
      <c r="AOZ795" s="134"/>
      <c r="APA795" s="134"/>
      <c r="APB795" s="134"/>
      <c r="APC795" s="134"/>
      <c r="APD795" s="134"/>
      <c r="APE795" s="134"/>
      <c r="APF795" s="134"/>
      <c r="APG795" s="134"/>
      <c r="APH795" s="134"/>
      <c r="API795" s="134"/>
      <c r="APJ795" s="134"/>
      <c r="APK795" s="134"/>
      <c r="APL795" s="134"/>
      <c r="APM795" s="134"/>
      <c r="APN795" s="134"/>
      <c r="APO795" s="134"/>
      <c r="APP795" s="134"/>
      <c r="APQ795" s="134"/>
      <c r="APR795" s="134"/>
      <c r="APS795" s="134"/>
      <c r="APT795" s="134"/>
      <c r="APU795" s="134"/>
      <c r="APV795" s="134"/>
      <c r="APW795" s="134"/>
      <c r="APX795" s="134"/>
      <c r="APY795" s="134"/>
      <c r="APZ795" s="134"/>
      <c r="AQA795" s="134"/>
      <c r="AQB795" s="134"/>
      <c r="AQC795" s="134"/>
      <c r="AQD795" s="134"/>
      <c r="AQE795" s="134"/>
      <c r="AQF795" s="134"/>
      <c r="AQG795" s="134"/>
      <c r="AQH795" s="134"/>
      <c r="AQI795" s="134"/>
      <c r="AQJ795" s="134"/>
      <c r="AQK795" s="134"/>
      <c r="AQL795" s="134"/>
      <c r="AQM795" s="134"/>
      <c r="AQN795" s="134"/>
      <c r="AQO795" s="134"/>
      <c r="AQP795" s="134"/>
      <c r="AQQ795" s="134"/>
      <c r="AQR795" s="134"/>
      <c r="AQS795" s="134"/>
      <c r="AQT795" s="134"/>
      <c r="AQU795" s="134"/>
      <c r="AQV795" s="134"/>
      <c r="AQW795" s="134"/>
      <c r="AQX795" s="134"/>
      <c r="AQY795" s="134"/>
      <c r="AQZ795" s="134"/>
      <c r="ARA795" s="134"/>
      <c r="ARB795" s="134"/>
      <c r="ARC795" s="134"/>
      <c r="ARD795" s="134"/>
      <c r="ARE795" s="134"/>
      <c r="ARF795" s="134"/>
      <c r="ARG795" s="134"/>
      <c r="ARH795" s="134"/>
      <c r="ARI795" s="134"/>
      <c r="ARJ795" s="134"/>
      <c r="ARK795" s="134"/>
      <c r="ARL795" s="134"/>
      <c r="ARM795" s="134"/>
      <c r="ARN795" s="134"/>
      <c r="ARO795" s="134"/>
      <c r="ARP795" s="134"/>
      <c r="ARQ795" s="134"/>
      <c r="ARR795" s="134"/>
      <c r="ARS795" s="134"/>
      <c r="ART795" s="134"/>
      <c r="ARU795" s="134"/>
      <c r="ARV795" s="134"/>
      <c r="ARW795" s="134"/>
      <c r="ARX795" s="134"/>
      <c r="ARY795" s="134"/>
      <c r="ARZ795" s="134"/>
      <c r="ASA795" s="134"/>
      <c r="ASB795" s="134"/>
      <c r="ASC795" s="134"/>
      <c r="ASD795" s="134"/>
      <c r="ASE795" s="134"/>
      <c r="ASF795" s="134"/>
      <c r="ASG795" s="134"/>
      <c r="ASH795" s="134"/>
      <c r="ASI795" s="134"/>
      <c r="ASJ795" s="134"/>
      <c r="ASK795" s="134"/>
      <c r="ASL795" s="134"/>
      <c r="ASM795" s="134"/>
      <c r="ASN795" s="134"/>
      <c r="ASO795" s="134"/>
      <c r="ASP795" s="134"/>
      <c r="ASQ795" s="134"/>
      <c r="ASR795" s="134"/>
      <c r="ASS795" s="134"/>
      <c r="AST795" s="134"/>
      <c r="ASU795" s="134"/>
      <c r="ASV795" s="134"/>
      <c r="ASW795" s="134"/>
      <c r="ASX795" s="134"/>
      <c r="ASY795" s="134"/>
      <c r="ASZ795" s="134"/>
      <c r="ATA795" s="134"/>
      <c r="ATB795" s="134"/>
      <c r="ATC795" s="134"/>
      <c r="ATD795" s="134"/>
      <c r="ATE795" s="134"/>
      <c r="ATF795" s="134"/>
      <c r="ATG795" s="134"/>
      <c r="ATH795" s="134"/>
      <c r="ATI795" s="134"/>
      <c r="ATJ795" s="134"/>
      <c r="ATK795" s="134"/>
      <c r="ATL795" s="134"/>
      <c r="ATM795" s="134"/>
      <c r="ATN795" s="134"/>
      <c r="ATO795" s="134"/>
      <c r="ATP795" s="134"/>
      <c r="ATQ795" s="134"/>
      <c r="ATR795" s="134"/>
      <c r="ATS795" s="134"/>
      <c r="ATT795" s="134"/>
      <c r="ATU795" s="134"/>
      <c r="ATV795" s="134"/>
      <c r="ATW795" s="134"/>
      <c r="ATX795" s="134"/>
      <c r="ATY795" s="134"/>
      <c r="ATZ795" s="134"/>
      <c r="AUA795" s="134"/>
      <c r="AUB795" s="134"/>
      <c r="AUC795" s="134"/>
      <c r="AUD795" s="134"/>
      <c r="AUE795" s="134"/>
      <c r="AUF795" s="134"/>
      <c r="AUG795" s="134"/>
      <c r="AUH795" s="134"/>
      <c r="AUI795" s="134"/>
      <c r="AUJ795" s="134"/>
      <c r="AUK795" s="134"/>
      <c r="AUL795" s="134"/>
      <c r="AUM795" s="134"/>
      <c r="AUN795" s="134"/>
      <c r="AUO795" s="134"/>
      <c r="AUP795" s="134"/>
      <c r="AUQ795" s="134"/>
      <c r="AUR795" s="134"/>
      <c r="AUS795" s="134"/>
      <c r="AUT795" s="134"/>
      <c r="AUU795" s="134"/>
      <c r="AUV795" s="134"/>
      <c r="AUW795" s="134"/>
      <c r="AUX795" s="134"/>
      <c r="AUY795" s="134"/>
      <c r="AUZ795" s="134"/>
      <c r="AVA795" s="134"/>
      <c r="AVB795" s="134"/>
      <c r="AVC795" s="134"/>
      <c r="AVD795" s="134"/>
      <c r="AVE795" s="134"/>
      <c r="AVF795" s="134"/>
      <c r="AVG795" s="134"/>
      <c r="AVH795" s="134"/>
      <c r="AVI795" s="134"/>
      <c r="AVJ795" s="134"/>
      <c r="AVK795" s="134"/>
      <c r="AVL795" s="134"/>
      <c r="AVM795" s="134"/>
      <c r="AVN795" s="134"/>
      <c r="AVO795" s="134"/>
      <c r="AVP795" s="134"/>
      <c r="AVQ795" s="134"/>
      <c r="AVR795" s="134"/>
      <c r="AVS795" s="134"/>
      <c r="AVT795" s="134"/>
      <c r="AVU795" s="134"/>
      <c r="AVV795" s="134"/>
      <c r="AVW795" s="134"/>
      <c r="AVX795" s="134"/>
      <c r="AVY795" s="134"/>
      <c r="AVZ795" s="134"/>
      <c r="AWA795" s="134"/>
      <c r="AWB795" s="134"/>
      <c r="AWC795" s="134"/>
      <c r="AWD795" s="134"/>
      <c r="AWE795" s="134"/>
      <c r="AWF795" s="134"/>
      <c r="AWG795" s="134"/>
      <c r="AWH795" s="134"/>
      <c r="AWI795" s="134"/>
      <c r="AWJ795" s="134"/>
      <c r="AWK795" s="134"/>
      <c r="AWL795" s="134"/>
      <c r="AWM795" s="134"/>
      <c r="AWN795" s="134"/>
      <c r="AWO795" s="134"/>
      <c r="AWP795" s="134"/>
      <c r="AWQ795" s="134"/>
      <c r="AWR795" s="134"/>
      <c r="AWS795" s="134"/>
      <c r="AWT795" s="134"/>
      <c r="AWU795" s="134"/>
      <c r="AWV795" s="134"/>
      <c r="AWW795" s="134"/>
      <c r="AWX795" s="134"/>
      <c r="AWY795" s="134"/>
      <c r="AWZ795" s="134"/>
      <c r="AXA795" s="134"/>
      <c r="AXB795" s="134"/>
      <c r="AXC795" s="134"/>
      <c r="AXD795" s="134"/>
      <c r="AXE795" s="134"/>
      <c r="AXF795" s="134"/>
      <c r="AXG795" s="134"/>
      <c r="AXH795" s="134"/>
      <c r="AXI795" s="134"/>
      <c r="AXJ795" s="134"/>
      <c r="AXK795" s="134"/>
      <c r="AXL795" s="134"/>
      <c r="AXM795" s="134"/>
      <c r="AXN795" s="134"/>
      <c r="AXO795" s="134"/>
      <c r="AXP795" s="134"/>
      <c r="AXQ795" s="134"/>
      <c r="AXR795" s="134"/>
      <c r="AXS795" s="134"/>
      <c r="AXT795" s="134"/>
      <c r="AXU795" s="134"/>
      <c r="AXV795" s="134"/>
      <c r="AXW795" s="134"/>
      <c r="AXX795" s="134"/>
      <c r="AXY795" s="134"/>
      <c r="AXZ795" s="134"/>
      <c r="AYA795" s="134"/>
      <c r="AYB795" s="134"/>
      <c r="AYC795" s="134"/>
      <c r="AYD795" s="134"/>
      <c r="AYE795" s="134"/>
      <c r="AYF795" s="134"/>
      <c r="AYG795" s="134"/>
      <c r="AYH795" s="134"/>
      <c r="AYI795" s="134"/>
      <c r="AYJ795" s="134"/>
      <c r="AYK795" s="134"/>
      <c r="AYL795" s="134"/>
      <c r="AYM795" s="134"/>
      <c r="AYN795" s="134"/>
      <c r="AYO795" s="134"/>
      <c r="AYP795" s="134"/>
      <c r="AYQ795" s="134"/>
      <c r="AYR795" s="134"/>
      <c r="AYS795" s="134"/>
      <c r="AYT795" s="134"/>
      <c r="AYU795" s="134"/>
      <c r="AYV795" s="134"/>
      <c r="AYW795" s="134"/>
      <c r="AYX795" s="134"/>
      <c r="AYY795" s="134"/>
      <c r="AYZ795" s="134"/>
      <c r="AZA795" s="134"/>
      <c r="AZB795" s="134"/>
      <c r="AZC795" s="134"/>
      <c r="AZD795" s="134"/>
      <c r="AZE795" s="134"/>
      <c r="AZF795" s="134"/>
      <c r="AZG795" s="134"/>
      <c r="AZH795" s="134"/>
      <c r="AZI795" s="134"/>
      <c r="AZJ795" s="134"/>
      <c r="AZK795" s="134"/>
      <c r="AZL795" s="134"/>
      <c r="AZM795" s="134"/>
      <c r="AZN795" s="134"/>
      <c r="AZO795" s="134"/>
      <c r="AZP795" s="134"/>
      <c r="AZQ795" s="134"/>
      <c r="AZR795" s="134"/>
      <c r="AZS795" s="134"/>
      <c r="AZT795" s="134"/>
      <c r="AZU795" s="134"/>
      <c r="AZV795" s="134"/>
      <c r="AZW795" s="134"/>
      <c r="AZX795" s="134"/>
      <c r="AZY795" s="134"/>
      <c r="AZZ795" s="134"/>
      <c r="BAA795" s="134"/>
      <c r="BAB795" s="134"/>
      <c r="BAC795" s="134"/>
      <c r="BAD795" s="134"/>
      <c r="BAE795" s="134"/>
      <c r="BAF795" s="134"/>
      <c r="BAG795" s="134"/>
      <c r="BAH795" s="134"/>
      <c r="BAI795" s="134"/>
      <c r="BAJ795" s="134"/>
      <c r="BAK795" s="134"/>
      <c r="BAL795" s="134"/>
      <c r="BAM795" s="134"/>
      <c r="BAN795" s="134"/>
      <c r="BAO795" s="134"/>
      <c r="BAP795" s="134"/>
      <c r="BAQ795" s="134"/>
      <c r="BAR795" s="134"/>
      <c r="BAS795" s="134"/>
      <c r="BAT795" s="134"/>
      <c r="BAU795" s="134"/>
      <c r="BAV795" s="134"/>
      <c r="BAW795" s="134"/>
      <c r="BAX795" s="134"/>
      <c r="BAY795" s="134"/>
      <c r="BAZ795" s="134"/>
      <c r="BBA795" s="134"/>
      <c r="BBB795" s="134"/>
      <c r="BBC795" s="134"/>
      <c r="BBD795" s="134"/>
      <c r="BBE795" s="134"/>
      <c r="BBF795" s="134"/>
      <c r="BBG795" s="134"/>
      <c r="BBH795" s="134"/>
      <c r="BBI795" s="134"/>
      <c r="BBJ795" s="134"/>
      <c r="BBK795" s="134"/>
      <c r="BBL795" s="134"/>
      <c r="BBM795" s="134"/>
      <c r="BBN795" s="134"/>
      <c r="BBO795" s="134"/>
      <c r="BBP795" s="134"/>
      <c r="BBQ795" s="134"/>
      <c r="BBR795" s="134"/>
      <c r="BBS795" s="134"/>
      <c r="BBT795" s="134"/>
      <c r="BBU795" s="134"/>
      <c r="BBV795" s="134"/>
      <c r="BBW795" s="134"/>
      <c r="BBX795" s="134"/>
      <c r="BBY795" s="134"/>
      <c r="BBZ795" s="134"/>
      <c r="BCA795" s="134"/>
      <c r="BCB795" s="134"/>
      <c r="BCC795" s="134"/>
      <c r="BCD795" s="134"/>
      <c r="BCE795" s="134"/>
      <c r="BCF795" s="134"/>
      <c r="BCG795" s="134"/>
      <c r="BCH795" s="134"/>
      <c r="BCI795" s="134"/>
      <c r="BCJ795" s="134"/>
      <c r="BCK795" s="134"/>
      <c r="BCL795" s="134"/>
      <c r="BCM795" s="134"/>
      <c r="BCN795" s="134"/>
      <c r="BCO795" s="134"/>
      <c r="BCP795" s="134"/>
      <c r="BCQ795" s="134"/>
      <c r="BCR795" s="134"/>
      <c r="BCS795" s="134"/>
      <c r="BCT795" s="134"/>
      <c r="BCU795" s="134"/>
      <c r="BCV795" s="134"/>
      <c r="BCW795" s="134"/>
      <c r="BCX795" s="134"/>
      <c r="BCY795" s="134"/>
      <c r="BCZ795" s="134"/>
      <c r="BDA795" s="134"/>
      <c r="BDB795" s="134"/>
      <c r="BDC795" s="134"/>
      <c r="BDD795" s="134"/>
      <c r="BDE795" s="134"/>
      <c r="BDF795" s="134"/>
      <c r="BDG795" s="134"/>
      <c r="BDH795" s="134"/>
      <c r="BDI795" s="134"/>
      <c r="BDJ795" s="134"/>
      <c r="BDK795" s="134"/>
      <c r="BDL795" s="134"/>
      <c r="BDM795" s="134"/>
      <c r="BDN795" s="134"/>
      <c r="BDO795" s="134"/>
      <c r="BDP795" s="134"/>
      <c r="BDQ795" s="134"/>
      <c r="BDR795" s="134"/>
      <c r="BDS795" s="134"/>
      <c r="BDT795" s="134"/>
      <c r="BDU795" s="134"/>
      <c r="BDV795" s="134"/>
      <c r="BDW795" s="134"/>
      <c r="BDX795" s="134"/>
      <c r="BDY795" s="134"/>
      <c r="BDZ795" s="134"/>
      <c r="BEA795" s="134"/>
      <c r="BEB795" s="134"/>
      <c r="BEC795" s="134"/>
      <c r="BED795" s="134"/>
      <c r="BEE795" s="134"/>
      <c r="BEF795" s="134"/>
      <c r="BEG795" s="134"/>
      <c r="BEH795" s="134"/>
      <c r="BEI795" s="134"/>
      <c r="BEJ795" s="134"/>
      <c r="BEK795" s="134"/>
      <c r="BEL795" s="134"/>
      <c r="BEM795" s="134"/>
      <c r="BEN795" s="134"/>
      <c r="BEO795" s="134"/>
      <c r="BEP795" s="134"/>
      <c r="BEQ795" s="134"/>
      <c r="BER795" s="134"/>
      <c r="BES795" s="134"/>
      <c r="BET795" s="134"/>
      <c r="BEU795" s="134"/>
      <c r="BEV795" s="134"/>
      <c r="BEW795" s="134"/>
      <c r="BEX795" s="134"/>
      <c r="BEY795" s="134"/>
      <c r="BEZ795" s="134"/>
      <c r="BFA795" s="134"/>
      <c r="BFB795" s="134"/>
      <c r="BFC795" s="134"/>
      <c r="BFD795" s="134"/>
      <c r="BFE795" s="134"/>
      <c r="BFF795" s="134"/>
      <c r="BFG795" s="134"/>
      <c r="BFH795" s="134"/>
      <c r="BFI795" s="134"/>
      <c r="BFJ795" s="134"/>
      <c r="BFK795" s="134"/>
      <c r="BFL795" s="134"/>
      <c r="BFM795" s="134"/>
      <c r="BFN795" s="134"/>
      <c r="BFO795" s="134"/>
      <c r="BFP795" s="134"/>
      <c r="BFQ795" s="134"/>
      <c r="BFR795" s="134"/>
      <c r="BFS795" s="134"/>
      <c r="BFT795" s="134"/>
      <c r="BFU795" s="134"/>
      <c r="BFV795" s="134"/>
      <c r="BFW795" s="134"/>
      <c r="BFX795" s="134"/>
      <c r="BFY795" s="134"/>
      <c r="BFZ795" s="134"/>
      <c r="BGA795" s="134"/>
      <c r="BGB795" s="134"/>
      <c r="BGC795" s="134"/>
      <c r="BGD795" s="134"/>
      <c r="BGE795" s="134"/>
      <c r="BGF795" s="134"/>
      <c r="BGG795" s="134"/>
      <c r="BGH795" s="134"/>
      <c r="BGI795" s="134"/>
      <c r="BGJ795" s="134"/>
      <c r="BGK795" s="134"/>
      <c r="BGL795" s="134"/>
      <c r="BGM795" s="134"/>
      <c r="BGN795" s="134"/>
      <c r="BGO795" s="134"/>
      <c r="BGP795" s="134"/>
      <c r="BGQ795" s="134"/>
      <c r="BGR795" s="134"/>
      <c r="BGS795" s="134"/>
      <c r="BGT795" s="134"/>
      <c r="BGU795" s="134"/>
      <c r="BGV795" s="134"/>
      <c r="BGW795" s="134"/>
      <c r="BGX795" s="134"/>
      <c r="BGY795" s="134"/>
      <c r="BGZ795" s="134"/>
      <c r="BHA795" s="134"/>
      <c r="BHB795" s="134"/>
      <c r="BHC795" s="134"/>
      <c r="BHD795" s="134"/>
      <c r="BHE795" s="134"/>
      <c r="BHF795" s="134"/>
      <c r="BHG795" s="134"/>
      <c r="BHH795" s="134"/>
      <c r="BHI795" s="134"/>
      <c r="BHJ795" s="134"/>
      <c r="BHK795" s="134"/>
      <c r="BHL795" s="134"/>
      <c r="BHM795" s="134"/>
      <c r="BHN795" s="134"/>
      <c r="BHO795" s="134"/>
      <c r="BHP795" s="134"/>
      <c r="BHQ795" s="134"/>
      <c r="BHR795" s="134"/>
      <c r="BHS795" s="134"/>
      <c r="BHT795" s="134"/>
      <c r="BHU795" s="134"/>
      <c r="BHV795" s="134"/>
      <c r="BHW795" s="134"/>
      <c r="BHX795" s="134"/>
      <c r="BHY795" s="134"/>
      <c r="BHZ795" s="134"/>
      <c r="BIA795" s="134"/>
      <c r="BIB795" s="134"/>
      <c r="BIC795" s="134"/>
      <c r="BID795" s="134"/>
      <c r="BIE795" s="134"/>
      <c r="BIF795" s="134"/>
      <c r="BIG795" s="134"/>
      <c r="BIH795" s="134"/>
      <c r="BII795" s="134"/>
      <c r="BIJ795" s="134"/>
      <c r="BIK795" s="134"/>
      <c r="BIL795" s="134"/>
      <c r="BIM795" s="134"/>
      <c r="BIN795" s="134"/>
      <c r="BIO795" s="134"/>
      <c r="BIP795" s="134"/>
      <c r="BIQ795" s="134"/>
      <c r="BIR795" s="134"/>
      <c r="BIS795" s="134"/>
      <c r="BIT795" s="134"/>
      <c r="BIU795" s="134"/>
      <c r="BIV795" s="134"/>
      <c r="BIW795" s="134"/>
      <c r="BIX795" s="134"/>
      <c r="BIY795" s="134"/>
      <c r="BIZ795" s="134"/>
      <c r="BJA795" s="134"/>
      <c r="BJB795" s="134"/>
      <c r="BJC795" s="134"/>
      <c r="BJD795" s="134"/>
      <c r="BJE795" s="134"/>
      <c r="BJF795" s="134"/>
      <c r="BJG795" s="134"/>
      <c r="BJH795" s="134"/>
      <c r="BJI795" s="134"/>
      <c r="BJJ795" s="134"/>
      <c r="BJK795" s="134"/>
      <c r="BJL795" s="134"/>
      <c r="BJM795" s="134"/>
      <c r="BJN795" s="134"/>
      <c r="BJO795" s="134"/>
      <c r="BJP795" s="134"/>
      <c r="BJQ795" s="134"/>
      <c r="BJR795" s="134"/>
      <c r="BJS795" s="134"/>
      <c r="BJT795" s="134"/>
      <c r="BJU795" s="134"/>
      <c r="BJV795" s="134"/>
      <c r="BJW795" s="134"/>
      <c r="BJX795" s="134"/>
      <c r="BJY795" s="134"/>
      <c r="BJZ795" s="134"/>
      <c r="BKA795" s="134"/>
      <c r="BKB795" s="134"/>
      <c r="BKC795" s="134"/>
      <c r="BKD795" s="134"/>
      <c r="BKE795" s="134"/>
      <c r="BKF795" s="134"/>
      <c r="BKG795" s="134"/>
      <c r="BKH795" s="134"/>
      <c r="BKI795" s="134"/>
      <c r="BKJ795" s="134"/>
      <c r="BKK795" s="134"/>
      <c r="BKL795" s="134"/>
      <c r="BKM795" s="134"/>
      <c r="BKN795" s="134"/>
      <c r="BKO795" s="134"/>
      <c r="BKP795" s="134"/>
      <c r="BKQ795" s="134"/>
      <c r="BKR795" s="134"/>
      <c r="BKS795" s="134"/>
      <c r="BKT795" s="134"/>
      <c r="BKU795" s="134"/>
      <c r="BKV795" s="134"/>
      <c r="BKW795" s="134"/>
      <c r="BKX795" s="134"/>
      <c r="BKY795" s="134"/>
      <c r="BKZ795" s="134"/>
      <c r="BLA795" s="134"/>
      <c r="BLB795" s="134"/>
      <c r="BLC795" s="134"/>
      <c r="BLD795" s="134"/>
      <c r="BLE795" s="134"/>
      <c r="BLF795" s="134"/>
      <c r="BLG795" s="134"/>
      <c r="BLH795" s="134"/>
      <c r="BLI795" s="134"/>
      <c r="BLJ795" s="134"/>
      <c r="BLK795" s="134"/>
      <c r="BLL795" s="134"/>
      <c r="BLM795" s="134"/>
      <c r="BLN795" s="134"/>
      <c r="BLO795" s="134"/>
      <c r="BLP795" s="134"/>
      <c r="BLQ795" s="134"/>
      <c r="BLR795" s="134"/>
      <c r="BLS795" s="134"/>
      <c r="BLT795" s="134"/>
      <c r="BLU795" s="134"/>
      <c r="BLV795" s="134"/>
      <c r="BLW795" s="134"/>
      <c r="BLX795" s="134"/>
      <c r="BLY795" s="134"/>
      <c r="BLZ795" s="134"/>
      <c r="BMA795" s="134"/>
      <c r="BMB795" s="134"/>
      <c r="BMC795" s="134"/>
      <c r="BMD795" s="134"/>
      <c r="BME795" s="134"/>
      <c r="BMF795" s="134"/>
      <c r="BMG795" s="134"/>
      <c r="BMH795" s="134"/>
      <c r="BMI795" s="134"/>
      <c r="BMJ795" s="134"/>
      <c r="BMK795" s="134"/>
      <c r="BML795" s="134"/>
      <c r="BMM795" s="134"/>
      <c r="BMN795" s="134"/>
      <c r="BMO795" s="134"/>
      <c r="BMP795" s="134"/>
      <c r="BMQ795" s="134"/>
      <c r="BMR795" s="134"/>
      <c r="BMS795" s="134"/>
      <c r="BMT795" s="134"/>
      <c r="BMU795" s="134"/>
      <c r="BMV795" s="134"/>
      <c r="BMW795" s="134"/>
      <c r="BMX795" s="134"/>
      <c r="BMY795" s="134"/>
      <c r="BMZ795" s="134"/>
      <c r="BNA795" s="134"/>
      <c r="BNB795" s="134"/>
      <c r="BNC795" s="134"/>
      <c r="BND795" s="134"/>
      <c r="BNE795" s="134"/>
      <c r="BNF795" s="134"/>
      <c r="BNG795" s="134"/>
      <c r="BNH795" s="134"/>
      <c r="BNI795" s="134"/>
      <c r="BNJ795" s="134"/>
      <c r="BNK795" s="134"/>
      <c r="BNL795" s="134"/>
      <c r="BNM795" s="134"/>
      <c r="BNN795" s="134"/>
      <c r="BNO795" s="134"/>
      <c r="BNP795" s="134"/>
      <c r="BNQ795" s="134"/>
      <c r="BNR795" s="134"/>
      <c r="BNS795" s="134"/>
      <c r="BNT795" s="134"/>
      <c r="BNU795" s="134"/>
      <c r="BNV795" s="134"/>
      <c r="BNW795" s="134"/>
      <c r="BNX795" s="134"/>
      <c r="BNY795" s="134"/>
      <c r="BNZ795" s="134"/>
      <c r="BOA795" s="134"/>
      <c r="BOB795" s="134"/>
      <c r="BOC795" s="134"/>
      <c r="BOD795" s="134"/>
      <c r="BOE795" s="134"/>
      <c r="BOF795" s="134"/>
      <c r="BOG795" s="134"/>
      <c r="BOH795" s="134"/>
      <c r="BOI795" s="134"/>
      <c r="BOJ795" s="134"/>
      <c r="BOK795" s="134"/>
      <c r="BOL795" s="134"/>
      <c r="BOM795" s="134"/>
      <c r="BON795" s="134"/>
      <c r="BOO795" s="134"/>
      <c r="BOP795" s="134"/>
      <c r="BOQ795" s="134"/>
      <c r="BOR795" s="134"/>
      <c r="BOS795" s="134"/>
      <c r="BOT795" s="134"/>
      <c r="BOU795" s="134"/>
      <c r="BOV795" s="134"/>
      <c r="BOW795" s="134"/>
      <c r="BOX795" s="134"/>
      <c r="BOY795" s="134"/>
      <c r="BOZ795" s="134"/>
      <c r="BPA795" s="134"/>
      <c r="BPB795" s="134"/>
      <c r="BPC795" s="134"/>
      <c r="BPD795" s="134"/>
      <c r="BPE795" s="134"/>
      <c r="BPF795" s="134"/>
      <c r="BPG795" s="134"/>
      <c r="BPH795" s="134"/>
      <c r="BPI795" s="134"/>
      <c r="BPJ795" s="134"/>
      <c r="BPK795" s="134"/>
      <c r="BPL795" s="134"/>
      <c r="BPM795" s="134"/>
      <c r="BPN795" s="134"/>
      <c r="BPO795" s="134"/>
      <c r="BPP795" s="134"/>
      <c r="BPQ795" s="134"/>
      <c r="BPR795" s="134"/>
      <c r="BPS795" s="134"/>
      <c r="BPT795" s="134"/>
      <c r="BPU795" s="134"/>
      <c r="BPV795" s="134"/>
      <c r="BPW795" s="134"/>
      <c r="BPX795" s="134"/>
      <c r="BPY795" s="134"/>
      <c r="BPZ795" s="134"/>
      <c r="BQA795" s="134"/>
      <c r="BQB795" s="134"/>
      <c r="BQC795" s="134"/>
      <c r="BQD795" s="134"/>
      <c r="BQE795" s="134"/>
      <c r="BQF795" s="134"/>
      <c r="BQG795" s="134"/>
      <c r="BQH795" s="134"/>
      <c r="BQI795" s="134"/>
      <c r="BQJ795" s="134"/>
      <c r="BQK795" s="134"/>
      <c r="BQL795" s="134"/>
      <c r="BQM795" s="134"/>
      <c r="BQN795" s="134"/>
      <c r="BQO795" s="134"/>
      <c r="BQP795" s="134"/>
      <c r="BQQ795" s="134"/>
      <c r="BQR795" s="134"/>
      <c r="BQS795" s="134"/>
      <c r="BQT795" s="134"/>
      <c r="BQU795" s="134"/>
      <c r="BQV795" s="134"/>
      <c r="BQW795" s="134"/>
      <c r="BQX795" s="134"/>
      <c r="BQY795" s="134"/>
      <c r="BQZ795" s="134"/>
      <c r="BRA795" s="134"/>
      <c r="BRB795" s="134"/>
      <c r="BRC795" s="134"/>
      <c r="BRD795" s="134"/>
      <c r="BRE795" s="134"/>
      <c r="BRF795" s="134"/>
      <c r="BRG795" s="134"/>
      <c r="BRH795" s="134"/>
      <c r="BRI795" s="134"/>
      <c r="BRJ795" s="134"/>
      <c r="BRK795" s="134"/>
      <c r="BRL795" s="134"/>
      <c r="BRM795" s="134"/>
      <c r="BRN795" s="134"/>
      <c r="BRO795" s="134"/>
      <c r="BRP795" s="134"/>
      <c r="BRQ795" s="134"/>
      <c r="BRR795" s="134"/>
      <c r="BRS795" s="134"/>
      <c r="BRT795" s="134"/>
      <c r="BRU795" s="134"/>
      <c r="BRV795" s="134"/>
      <c r="BRW795" s="134"/>
      <c r="BRX795" s="134"/>
      <c r="BRY795" s="134"/>
      <c r="BRZ795" s="134"/>
      <c r="BSA795" s="134"/>
      <c r="BSB795" s="134"/>
      <c r="BSC795" s="134"/>
      <c r="BSD795" s="134"/>
      <c r="BSE795" s="134"/>
      <c r="BSF795" s="134"/>
      <c r="BSG795" s="134"/>
      <c r="BSH795" s="134"/>
      <c r="BSI795" s="134"/>
      <c r="BSJ795" s="134"/>
      <c r="BSK795" s="134"/>
      <c r="BSL795" s="134"/>
      <c r="BSM795" s="134"/>
      <c r="BSN795" s="134"/>
      <c r="BSO795" s="134"/>
      <c r="BSP795" s="134"/>
      <c r="BSQ795" s="134"/>
      <c r="BSR795" s="134"/>
      <c r="BSS795" s="134"/>
      <c r="BST795" s="134"/>
      <c r="BSU795" s="134"/>
      <c r="BSV795" s="134"/>
      <c r="BSW795" s="134"/>
      <c r="BSX795" s="134"/>
      <c r="BSY795" s="134"/>
      <c r="BSZ795" s="134"/>
      <c r="BTA795" s="134"/>
      <c r="BTB795" s="134"/>
      <c r="BTC795" s="134"/>
      <c r="BTD795" s="134"/>
      <c r="BTE795" s="134"/>
      <c r="BTF795" s="134"/>
      <c r="BTG795" s="134"/>
      <c r="BTH795" s="134"/>
      <c r="BTI795" s="134"/>
      <c r="BTJ795" s="134"/>
      <c r="BTK795" s="134"/>
      <c r="BTL795" s="134"/>
      <c r="BTM795" s="134"/>
      <c r="BTN795" s="134"/>
      <c r="BTO795" s="134"/>
      <c r="BTP795" s="134"/>
      <c r="BTQ795" s="134"/>
      <c r="BTR795" s="134"/>
      <c r="BTS795" s="134"/>
      <c r="BTT795" s="134"/>
      <c r="BTU795" s="134"/>
      <c r="BTV795" s="134"/>
      <c r="BTW795" s="134"/>
      <c r="BTX795" s="134"/>
      <c r="BTY795" s="134"/>
      <c r="BTZ795" s="134"/>
      <c r="BUA795" s="134"/>
      <c r="BUB795" s="134"/>
      <c r="BUC795" s="134"/>
      <c r="BUD795" s="134"/>
      <c r="BUE795" s="134"/>
      <c r="BUF795" s="134"/>
      <c r="BUG795" s="134"/>
      <c r="BUH795" s="134"/>
      <c r="BUI795" s="134"/>
      <c r="BUJ795" s="134"/>
      <c r="BUK795" s="134"/>
      <c r="BUL795" s="134"/>
      <c r="BUM795" s="134"/>
      <c r="BUN795" s="134"/>
      <c r="BUO795" s="134"/>
      <c r="BUP795" s="134"/>
      <c r="BUQ795" s="134"/>
      <c r="BUR795" s="134"/>
      <c r="BUS795" s="134"/>
      <c r="BUT795" s="134"/>
      <c r="BUU795" s="134"/>
      <c r="BUV795" s="134"/>
      <c r="BUW795" s="134"/>
      <c r="BUX795" s="134"/>
      <c r="BUY795" s="134"/>
      <c r="BUZ795" s="134"/>
      <c r="BVA795" s="134"/>
      <c r="BVB795" s="134"/>
      <c r="BVC795" s="134"/>
      <c r="BVD795" s="134"/>
      <c r="BVE795" s="134"/>
      <c r="BVF795" s="134"/>
      <c r="BVG795" s="134"/>
      <c r="BVH795" s="134"/>
      <c r="BVI795" s="134"/>
      <c r="BVJ795" s="134"/>
      <c r="BVK795" s="134"/>
      <c r="BVL795" s="134"/>
      <c r="BVM795" s="134"/>
      <c r="BVN795" s="134"/>
      <c r="BVO795" s="134"/>
      <c r="BVP795" s="134"/>
      <c r="BVQ795" s="134"/>
      <c r="BVR795" s="134"/>
      <c r="BVS795" s="134"/>
      <c r="BVT795" s="134"/>
      <c r="BVU795" s="134"/>
      <c r="BVV795" s="134"/>
      <c r="BVW795" s="134"/>
      <c r="BVX795" s="134"/>
      <c r="BVY795" s="134"/>
      <c r="BVZ795" s="134"/>
      <c r="BWA795" s="134"/>
      <c r="BWB795" s="134"/>
      <c r="BWC795" s="134"/>
      <c r="BWD795" s="134"/>
      <c r="BWE795" s="134"/>
      <c r="BWF795" s="134"/>
      <c r="BWG795" s="134"/>
      <c r="BWH795" s="134"/>
      <c r="BWI795" s="134"/>
      <c r="BWJ795" s="134"/>
      <c r="BWK795" s="134"/>
      <c r="BWL795" s="134"/>
      <c r="BWM795" s="134"/>
      <c r="BWN795" s="134"/>
      <c r="BWO795" s="134"/>
      <c r="BWP795" s="134"/>
      <c r="BWQ795" s="134"/>
      <c r="BWR795" s="134"/>
      <c r="BWS795" s="134"/>
      <c r="BWT795" s="134"/>
      <c r="BWU795" s="134"/>
      <c r="BWV795" s="134"/>
      <c r="BWW795" s="134"/>
      <c r="BWX795" s="134"/>
      <c r="BWY795" s="134"/>
      <c r="BWZ795" s="134"/>
      <c r="BXA795" s="134"/>
      <c r="BXB795" s="134"/>
      <c r="BXC795" s="134"/>
      <c r="BXD795" s="134"/>
      <c r="BXE795" s="134"/>
      <c r="BXF795" s="134"/>
      <c r="BXG795" s="134"/>
      <c r="BXH795" s="134"/>
      <c r="BXI795" s="134"/>
      <c r="BXJ795" s="134"/>
      <c r="BXK795" s="134"/>
      <c r="BXL795" s="134"/>
      <c r="BXM795" s="134"/>
      <c r="BXN795" s="134"/>
      <c r="BXO795" s="134"/>
      <c r="BXP795" s="134"/>
      <c r="BXQ795" s="134"/>
      <c r="BXR795" s="134"/>
      <c r="BXS795" s="134"/>
      <c r="BXT795" s="134"/>
      <c r="BXU795" s="134"/>
      <c r="BXV795" s="134"/>
      <c r="BXW795" s="134"/>
      <c r="BXX795" s="134"/>
      <c r="BXY795" s="134"/>
      <c r="BXZ795" s="134"/>
      <c r="BYA795" s="134"/>
      <c r="BYB795" s="134"/>
      <c r="BYC795" s="134"/>
      <c r="BYD795" s="134"/>
      <c r="BYE795" s="134"/>
      <c r="BYF795" s="134"/>
      <c r="BYG795" s="134"/>
      <c r="BYH795" s="134"/>
      <c r="BYI795" s="134"/>
      <c r="BYJ795" s="134"/>
      <c r="BYK795" s="134"/>
      <c r="BYL795" s="134"/>
      <c r="BYM795" s="134"/>
      <c r="BYN795" s="134"/>
      <c r="BYO795" s="134"/>
      <c r="BYP795" s="134"/>
      <c r="BYQ795" s="134"/>
      <c r="BYR795" s="134"/>
      <c r="BYS795" s="134"/>
      <c r="BYT795" s="134"/>
      <c r="BYU795" s="134"/>
      <c r="BYV795" s="134"/>
      <c r="BYW795" s="134"/>
      <c r="BYX795" s="134"/>
      <c r="BYY795" s="134"/>
      <c r="BYZ795" s="134"/>
      <c r="BZA795" s="134"/>
      <c r="BZB795" s="134"/>
      <c r="BZC795" s="134"/>
      <c r="BZD795" s="134"/>
      <c r="BZE795" s="134"/>
      <c r="BZF795" s="134"/>
      <c r="BZG795" s="134"/>
      <c r="BZH795" s="134"/>
      <c r="BZI795" s="134"/>
      <c r="BZJ795" s="134"/>
      <c r="BZK795" s="134"/>
      <c r="BZL795" s="134"/>
      <c r="BZM795" s="134"/>
      <c r="BZN795" s="134"/>
      <c r="BZO795" s="134"/>
      <c r="BZP795" s="134"/>
      <c r="BZQ795" s="134"/>
      <c r="BZR795" s="134"/>
      <c r="BZS795" s="134"/>
      <c r="BZT795" s="134"/>
      <c r="BZU795" s="134"/>
      <c r="BZV795" s="134"/>
      <c r="BZW795" s="134"/>
      <c r="BZX795" s="134"/>
      <c r="BZY795" s="134"/>
      <c r="BZZ795" s="134"/>
      <c r="CAA795" s="134"/>
      <c r="CAB795" s="134"/>
      <c r="CAC795" s="134"/>
      <c r="CAD795" s="134"/>
      <c r="CAE795" s="134"/>
      <c r="CAF795" s="134"/>
      <c r="CAG795" s="134"/>
      <c r="CAH795" s="134"/>
      <c r="CAI795" s="134"/>
      <c r="CAJ795" s="134"/>
      <c r="CAK795" s="134"/>
      <c r="CAL795" s="134"/>
      <c r="CAM795" s="134"/>
      <c r="CAN795" s="134"/>
      <c r="CAO795" s="134"/>
      <c r="CAP795" s="134"/>
      <c r="CAQ795" s="134"/>
      <c r="CAR795" s="134"/>
      <c r="CAS795" s="134"/>
      <c r="CAT795" s="134"/>
      <c r="CAU795" s="134"/>
      <c r="CAV795" s="134"/>
      <c r="CAW795" s="134"/>
      <c r="CAX795" s="134"/>
      <c r="CAY795" s="134"/>
      <c r="CAZ795" s="134"/>
      <c r="CBA795" s="134"/>
      <c r="CBB795" s="134"/>
      <c r="CBC795" s="134"/>
      <c r="CBD795" s="134"/>
      <c r="CBE795" s="134"/>
      <c r="CBF795" s="134"/>
      <c r="CBG795" s="134"/>
      <c r="CBH795" s="134"/>
      <c r="CBI795" s="134"/>
      <c r="CBJ795" s="134"/>
      <c r="CBK795" s="134"/>
      <c r="CBL795" s="134"/>
      <c r="CBM795" s="134"/>
      <c r="CBN795" s="134"/>
      <c r="CBO795" s="134"/>
      <c r="CBP795" s="134"/>
      <c r="CBQ795" s="134"/>
      <c r="CBR795" s="134"/>
      <c r="CBS795" s="134"/>
      <c r="CBT795" s="134"/>
      <c r="CBU795" s="134"/>
      <c r="CBV795" s="134"/>
      <c r="CBW795" s="134"/>
      <c r="CBX795" s="134"/>
      <c r="CBY795" s="134"/>
      <c r="CBZ795" s="134"/>
      <c r="CCA795" s="134"/>
      <c r="CCB795" s="134"/>
      <c r="CCC795" s="134"/>
      <c r="CCD795" s="134"/>
      <c r="CCE795" s="134"/>
      <c r="CCF795" s="134"/>
      <c r="CCG795" s="134"/>
      <c r="CCH795" s="134"/>
      <c r="CCI795" s="134"/>
      <c r="CCJ795" s="134"/>
      <c r="CCK795" s="134"/>
      <c r="CCL795" s="134"/>
      <c r="CCM795" s="134"/>
      <c r="CCN795" s="134"/>
      <c r="CCO795" s="134"/>
      <c r="CCP795" s="134"/>
      <c r="CCQ795" s="134"/>
      <c r="CCR795" s="134"/>
      <c r="CCS795" s="134"/>
      <c r="CCT795" s="134"/>
      <c r="CCU795" s="134"/>
      <c r="CCV795" s="134"/>
      <c r="CCW795" s="134"/>
      <c r="CCX795" s="134"/>
      <c r="CCY795" s="134"/>
      <c r="CCZ795" s="134"/>
      <c r="CDA795" s="134"/>
      <c r="CDB795" s="134"/>
      <c r="CDC795" s="134"/>
      <c r="CDD795" s="134"/>
      <c r="CDE795" s="134"/>
      <c r="CDF795" s="134"/>
      <c r="CDG795" s="134"/>
      <c r="CDH795" s="134"/>
      <c r="CDI795" s="134"/>
      <c r="CDJ795" s="134"/>
      <c r="CDK795" s="134"/>
      <c r="CDL795" s="134"/>
      <c r="CDM795" s="134"/>
      <c r="CDN795" s="134"/>
      <c r="CDO795" s="134"/>
      <c r="CDP795" s="134"/>
      <c r="CDQ795" s="134"/>
      <c r="CDR795" s="134"/>
      <c r="CDS795" s="134"/>
      <c r="CDT795" s="134"/>
      <c r="CDU795" s="134"/>
      <c r="CDV795" s="134"/>
      <c r="CDW795" s="134"/>
      <c r="CDX795" s="134"/>
      <c r="CDY795" s="134"/>
      <c r="CDZ795" s="134"/>
      <c r="CEA795" s="134"/>
      <c r="CEB795" s="134"/>
      <c r="CEC795" s="134"/>
      <c r="CED795" s="134"/>
      <c r="CEE795" s="134"/>
      <c r="CEF795" s="134"/>
      <c r="CEG795" s="134"/>
      <c r="CEH795" s="134"/>
      <c r="CEI795" s="134"/>
      <c r="CEJ795" s="134"/>
      <c r="CEK795" s="134"/>
      <c r="CEL795" s="134"/>
      <c r="CEM795" s="134"/>
      <c r="CEN795" s="134"/>
      <c r="CEO795" s="134"/>
      <c r="CEP795" s="134"/>
      <c r="CEQ795" s="134"/>
      <c r="CER795" s="134"/>
      <c r="CES795" s="134"/>
      <c r="CET795" s="134"/>
      <c r="CEU795" s="134"/>
      <c r="CEV795" s="134"/>
      <c r="CEW795" s="134"/>
      <c r="CEX795" s="134"/>
      <c r="CEY795" s="134"/>
      <c r="CEZ795" s="134"/>
      <c r="CFA795" s="134"/>
      <c r="CFB795" s="134"/>
      <c r="CFC795" s="134"/>
      <c r="CFD795" s="134"/>
      <c r="CFE795" s="134"/>
      <c r="CFF795" s="134"/>
      <c r="CFG795" s="134"/>
      <c r="CFH795" s="134"/>
      <c r="CFI795" s="134"/>
      <c r="CFJ795" s="134"/>
      <c r="CFK795" s="134"/>
      <c r="CFL795" s="134"/>
      <c r="CFM795" s="134"/>
      <c r="CFN795" s="134"/>
      <c r="CFO795" s="134"/>
      <c r="CFP795" s="134"/>
      <c r="CFQ795" s="134"/>
      <c r="CFR795" s="134"/>
      <c r="CFS795" s="134"/>
      <c r="CFT795" s="134"/>
      <c r="CFU795" s="134"/>
      <c r="CFV795" s="134"/>
      <c r="CFW795" s="134"/>
      <c r="CFX795" s="134"/>
      <c r="CFY795" s="134"/>
      <c r="CFZ795" s="134"/>
      <c r="CGA795" s="134"/>
      <c r="CGB795" s="134"/>
      <c r="CGC795" s="134"/>
      <c r="CGD795" s="134"/>
      <c r="CGE795" s="134"/>
      <c r="CGF795" s="134"/>
      <c r="CGG795" s="134"/>
      <c r="CGH795" s="134"/>
      <c r="CGI795" s="134"/>
      <c r="CGJ795" s="134"/>
      <c r="CGK795" s="134"/>
      <c r="CGL795" s="134"/>
      <c r="CGM795" s="134"/>
      <c r="CGN795" s="134"/>
      <c r="CGO795" s="134"/>
      <c r="CGP795" s="134"/>
      <c r="CGQ795" s="134"/>
      <c r="CGR795" s="134"/>
      <c r="CGS795" s="134"/>
      <c r="CGT795" s="134"/>
      <c r="CGU795" s="134"/>
      <c r="CGV795" s="134"/>
      <c r="CGW795" s="134"/>
      <c r="CGX795" s="134"/>
      <c r="CGY795" s="134"/>
      <c r="CGZ795" s="134"/>
      <c r="CHA795" s="134"/>
      <c r="CHB795" s="134"/>
      <c r="CHC795" s="134"/>
      <c r="CHD795" s="134"/>
      <c r="CHE795" s="134"/>
      <c r="CHF795" s="134"/>
      <c r="CHG795" s="134"/>
      <c r="CHH795" s="134"/>
      <c r="CHI795" s="134"/>
      <c r="CHJ795" s="134"/>
      <c r="CHK795" s="134"/>
      <c r="CHL795" s="134"/>
      <c r="CHM795" s="134"/>
      <c r="CHN795" s="134"/>
      <c r="CHO795" s="134"/>
      <c r="CHP795" s="134"/>
      <c r="CHQ795" s="134"/>
      <c r="CHR795" s="134"/>
      <c r="CHS795" s="134"/>
      <c r="CHT795" s="134"/>
      <c r="CHU795" s="134"/>
      <c r="CHV795" s="134"/>
      <c r="CHW795" s="134"/>
      <c r="CHX795" s="134"/>
      <c r="CHY795" s="134"/>
      <c r="CHZ795" s="134"/>
      <c r="CIA795" s="134"/>
      <c r="CIB795" s="134"/>
      <c r="CIC795" s="134"/>
      <c r="CID795" s="134"/>
      <c r="CIE795" s="134"/>
      <c r="CIF795" s="134"/>
      <c r="CIG795" s="134"/>
      <c r="CIH795" s="134"/>
      <c r="CII795" s="134"/>
      <c r="CIJ795" s="134"/>
      <c r="CIK795" s="134"/>
      <c r="CIL795" s="134"/>
      <c r="CIM795" s="134"/>
      <c r="CIN795" s="134"/>
      <c r="CIO795" s="134"/>
      <c r="CIP795" s="134"/>
      <c r="CIQ795" s="134"/>
      <c r="CIR795" s="134"/>
      <c r="CIS795" s="134"/>
      <c r="CIT795" s="134"/>
      <c r="CIU795" s="134"/>
      <c r="CIV795" s="134"/>
      <c r="CIW795" s="134"/>
      <c r="CIX795" s="134"/>
      <c r="CIY795" s="134"/>
      <c r="CIZ795" s="134"/>
      <c r="CJA795" s="134"/>
      <c r="CJB795" s="134"/>
      <c r="CJC795" s="134"/>
      <c r="CJD795" s="134"/>
      <c r="CJE795" s="134"/>
      <c r="CJF795" s="134"/>
      <c r="CJG795" s="134"/>
      <c r="CJH795" s="134"/>
      <c r="CJI795" s="134"/>
      <c r="CJJ795" s="134"/>
      <c r="CJK795" s="134"/>
      <c r="CJL795" s="134"/>
      <c r="CJM795" s="134"/>
      <c r="CJN795" s="134"/>
      <c r="CJO795" s="134"/>
      <c r="CJP795" s="134"/>
      <c r="CJQ795" s="134"/>
      <c r="CJR795" s="134"/>
      <c r="CJS795" s="134"/>
      <c r="CJT795" s="134"/>
      <c r="CJU795" s="134"/>
      <c r="CJV795" s="134"/>
      <c r="CJW795" s="134"/>
      <c r="CJX795" s="134"/>
      <c r="CJY795" s="134"/>
      <c r="CJZ795" s="134"/>
      <c r="CKA795" s="134"/>
      <c r="CKB795" s="134"/>
      <c r="CKC795" s="134"/>
      <c r="CKD795" s="134"/>
      <c r="CKE795" s="134"/>
      <c r="CKF795" s="134"/>
      <c r="CKG795" s="134"/>
      <c r="CKH795" s="134"/>
      <c r="CKI795" s="134"/>
      <c r="CKJ795" s="134"/>
      <c r="CKK795" s="134"/>
      <c r="CKL795" s="134"/>
      <c r="CKM795" s="134"/>
      <c r="CKN795" s="134"/>
      <c r="CKO795" s="134"/>
      <c r="CKP795" s="134"/>
      <c r="CKQ795" s="134"/>
      <c r="CKR795" s="134"/>
      <c r="CKS795" s="134"/>
      <c r="CKT795" s="134"/>
      <c r="CKU795" s="134"/>
      <c r="CKV795" s="134"/>
      <c r="CKW795" s="134"/>
      <c r="CKX795" s="134"/>
      <c r="CKY795" s="134"/>
      <c r="CKZ795" s="134"/>
      <c r="CLA795" s="134"/>
      <c r="CLB795" s="134"/>
      <c r="CLC795" s="134"/>
      <c r="CLD795" s="134"/>
      <c r="CLE795" s="134"/>
      <c r="CLF795" s="134"/>
      <c r="CLG795" s="134"/>
      <c r="CLH795" s="134"/>
      <c r="CLI795" s="134"/>
      <c r="CLJ795" s="134"/>
      <c r="CLK795" s="134"/>
      <c r="CLL795" s="134"/>
      <c r="CLM795" s="134"/>
      <c r="CLN795" s="134"/>
      <c r="CLO795" s="134"/>
      <c r="CLP795" s="134"/>
      <c r="CLQ795" s="134"/>
      <c r="CLR795" s="134"/>
      <c r="CLS795" s="134"/>
      <c r="CLT795" s="134"/>
      <c r="CLU795" s="134"/>
      <c r="CLV795" s="134"/>
      <c r="CLW795" s="134"/>
      <c r="CLX795" s="134"/>
      <c r="CLY795" s="134"/>
      <c r="CLZ795" s="134"/>
      <c r="CMA795" s="134"/>
      <c r="CMB795" s="134"/>
      <c r="CMC795" s="134"/>
      <c r="CMD795" s="134"/>
      <c r="CME795" s="134"/>
      <c r="CMF795" s="134"/>
      <c r="CMG795" s="134"/>
      <c r="CMH795" s="134"/>
      <c r="CMI795" s="134"/>
      <c r="CMJ795" s="134"/>
      <c r="CMK795" s="134"/>
      <c r="CML795" s="134"/>
      <c r="CMM795" s="134"/>
      <c r="CMN795" s="134"/>
      <c r="CMO795" s="134"/>
      <c r="CMP795" s="134"/>
      <c r="CMQ795" s="134"/>
      <c r="CMR795" s="134"/>
      <c r="CMS795" s="134"/>
      <c r="CMT795" s="134"/>
      <c r="CMU795" s="134"/>
      <c r="CMV795" s="134"/>
      <c r="CMW795" s="134"/>
      <c r="CMX795" s="134"/>
      <c r="CMY795" s="134"/>
      <c r="CMZ795" s="134"/>
      <c r="CNA795" s="134"/>
      <c r="CNB795" s="134"/>
      <c r="CNC795" s="134"/>
      <c r="CND795" s="134"/>
      <c r="CNE795" s="134"/>
      <c r="CNF795" s="134"/>
      <c r="CNG795" s="134"/>
      <c r="CNH795" s="134"/>
      <c r="CNI795" s="134"/>
      <c r="CNJ795" s="134"/>
      <c r="CNK795" s="134"/>
      <c r="CNL795" s="134"/>
      <c r="CNM795" s="134"/>
      <c r="CNN795" s="134"/>
      <c r="CNO795" s="134"/>
      <c r="CNP795" s="134"/>
      <c r="CNQ795" s="134"/>
      <c r="CNR795" s="134"/>
      <c r="CNS795" s="134"/>
      <c r="CNT795" s="134"/>
      <c r="CNU795" s="134"/>
      <c r="CNV795" s="134"/>
      <c r="CNW795" s="134"/>
      <c r="CNX795" s="134"/>
      <c r="CNY795" s="134"/>
      <c r="CNZ795" s="134"/>
      <c r="COA795" s="134"/>
      <c r="COB795" s="134"/>
      <c r="COC795" s="134"/>
      <c r="COD795" s="134"/>
      <c r="COE795" s="134"/>
      <c r="COF795" s="134"/>
      <c r="COG795" s="134"/>
      <c r="COH795" s="134"/>
      <c r="COI795" s="134"/>
      <c r="COJ795" s="134"/>
      <c r="COK795" s="134"/>
      <c r="COL795" s="134"/>
      <c r="COM795" s="134"/>
      <c r="CON795" s="134"/>
      <c r="COO795" s="134"/>
      <c r="COP795" s="134"/>
      <c r="COQ795" s="134"/>
      <c r="COR795" s="134"/>
      <c r="COS795" s="134"/>
      <c r="COT795" s="134"/>
      <c r="COU795" s="134"/>
      <c r="COV795" s="134"/>
      <c r="COW795" s="134"/>
      <c r="COX795" s="134"/>
      <c r="COY795" s="134"/>
      <c r="COZ795" s="134"/>
      <c r="CPA795" s="134"/>
      <c r="CPB795" s="134"/>
      <c r="CPC795" s="134"/>
      <c r="CPD795" s="134"/>
      <c r="CPE795" s="134"/>
      <c r="CPF795" s="134"/>
      <c r="CPG795" s="134"/>
      <c r="CPH795" s="134"/>
      <c r="CPI795" s="134"/>
      <c r="CPJ795" s="134"/>
      <c r="CPK795" s="134"/>
      <c r="CPL795" s="134"/>
      <c r="CPM795" s="134"/>
      <c r="CPN795" s="134"/>
      <c r="CPO795" s="134"/>
      <c r="CPP795" s="134"/>
      <c r="CPQ795" s="134"/>
      <c r="CPR795" s="134"/>
      <c r="CPS795" s="134"/>
      <c r="CPT795" s="134"/>
      <c r="CPU795" s="134"/>
      <c r="CPV795" s="134"/>
      <c r="CPW795" s="134"/>
      <c r="CPX795" s="134"/>
      <c r="CPY795" s="134"/>
      <c r="CPZ795" s="134"/>
      <c r="CQA795" s="134"/>
      <c r="CQB795" s="134"/>
      <c r="CQC795" s="134"/>
      <c r="CQD795" s="134"/>
      <c r="CQE795" s="134"/>
      <c r="CQF795" s="134"/>
      <c r="CQG795" s="134"/>
      <c r="CQH795" s="134"/>
      <c r="CQI795" s="134"/>
      <c r="CQJ795" s="134"/>
      <c r="CQK795" s="134"/>
      <c r="CQL795" s="134"/>
      <c r="CQM795" s="134"/>
      <c r="CQN795" s="134"/>
      <c r="CQO795" s="134"/>
      <c r="CQP795" s="134"/>
      <c r="CQQ795" s="134"/>
      <c r="CQR795" s="134"/>
      <c r="CQS795" s="134"/>
      <c r="CQT795" s="134"/>
      <c r="CQU795" s="134"/>
      <c r="CQV795" s="134"/>
      <c r="CQW795" s="134"/>
      <c r="CQX795" s="134"/>
      <c r="CQY795" s="134"/>
      <c r="CQZ795" s="134"/>
      <c r="CRA795" s="134"/>
      <c r="CRB795" s="134"/>
      <c r="CRC795" s="134"/>
      <c r="CRD795" s="134"/>
      <c r="CRE795" s="134"/>
      <c r="CRF795" s="134"/>
      <c r="CRG795" s="134"/>
      <c r="CRH795" s="134"/>
      <c r="CRI795" s="134"/>
      <c r="CRJ795" s="134"/>
      <c r="CRK795" s="134"/>
      <c r="CRL795" s="134"/>
      <c r="CRM795" s="134"/>
      <c r="CRN795" s="134"/>
      <c r="CRO795" s="134"/>
      <c r="CRP795" s="134"/>
      <c r="CRQ795" s="134"/>
      <c r="CRR795" s="134"/>
      <c r="CRS795" s="134"/>
      <c r="CRT795" s="134"/>
      <c r="CRU795" s="134"/>
      <c r="CRV795" s="134"/>
      <c r="CRW795" s="134"/>
      <c r="CRX795" s="134"/>
      <c r="CRY795" s="134"/>
      <c r="CRZ795" s="134"/>
      <c r="CSA795" s="134"/>
      <c r="CSB795" s="134"/>
      <c r="CSC795" s="134"/>
      <c r="CSD795" s="134"/>
      <c r="CSE795" s="134"/>
      <c r="CSF795" s="134"/>
      <c r="CSG795" s="134"/>
      <c r="CSH795" s="134"/>
      <c r="CSI795" s="134"/>
      <c r="CSJ795" s="134"/>
      <c r="CSK795" s="134"/>
      <c r="CSL795" s="134"/>
      <c r="CSM795" s="134"/>
      <c r="CSN795" s="134"/>
      <c r="CSO795" s="134"/>
      <c r="CSP795" s="134"/>
      <c r="CSQ795" s="134"/>
      <c r="CSR795" s="134"/>
      <c r="CSS795" s="134"/>
      <c r="CST795" s="134"/>
      <c r="CSU795" s="134"/>
      <c r="CSV795" s="134"/>
      <c r="CSW795" s="134"/>
      <c r="CSX795" s="134"/>
      <c r="CSY795" s="134"/>
      <c r="CSZ795" s="134"/>
      <c r="CTA795" s="134"/>
      <c r="CTB795" s="134"/>
      <c r="CTC795" s="134"/>
      <c r="CTD795" s="134"/>
      <c r="CTE795" s="134"/>
      <c r="CTF795" s="134"/>
      <c r="CTG795" s="134"/>
      <c r="CTH795" s="134"/>
      <c r="CTI795" s="134"/>
      <c r="CTJ795" s="134"/>
      <c r="CTK795" s="134"/>
      <c r="CTL795" s="134"/>
      <c r="CTM795" s="134"/>
      <c r="CTN795" s="134"/>
      <c r="CTO795" s="134"/>
      <c r="CTP795" s="134"/>
      <c r="CTQ795" s="134"/>
      <c r="CTR795" s="134"/>
      <c r="CTS795" s="134"/>
      <c r="CTT795" s="134"/>
      <c r="CTU795" s="134"/>
      <c r="CTV795" s="134"/>
      <c r="CTW795" s="134"/>
      <c r="CTX795" s="134"/>
      <c r="CTY795" s="134"/>
      <c r="CTZ795" s="134"/>
      <c r="CUA795" s="134"/>
      <c r="CUB795" s="134"/>
      <c r="CUC795" s="134"/>
      <c r="CUD795" s="134"/>
      <c r="CUE795" s="134"/>
      <c r="CUF795" s="134"/>
      <c r="CUG795" s="134"/>
      <c r="CUH795" s="134"/>
      <c r="CUI795" s="134"/>
      <c r="CUJ795" s="134"/>
      <c r="CUK795" s="134"/>
      <c r="CUL795" s="134"/>
      <c r="CUM795" s="134"/>
      <c r="CUN795" s="134"/>
      <c r="CUO795" s="134"/>
      <c r="CUP795" s="134"/>
      <c r="CUQ795" s="134"/>
      <c r="CUR795" s="134"/>
      <c r="CUS795" s="134"/>
      <c r="CUT795" s="134"/>
      <c r="CUU795" s="134"/>
      <c r="CUV795" s="134"/>
      <c r="CUW795" s="134"/>
      <c r="CUX795" s="134"/>
      <c r="CUY795" s="134"/>
      <c r="CUZ795" s="134"/>
      <c r="CVA795" s="134"/>
      <c r="CVB795" s="134"/>
      <c r="CVC795" s="134"/>
      <c r="CVD795" s="134"/>
      <c r="CVE795" s="134"/>
      <c r="CVF795" s="134"/>
      <c r="CVG795" s="134"/>
      <c r="CVH795" s="134"/>
      <c r="CVI795" s="134"/>
      <c r="CVJ795" s="134"/>
      <c r="CVK795" s="134"/>
      <c r="CVL795" s="134"/>
      <c r="CVM795" s="134"/>
      <c r="CVN795" s="134"/>
      <c r="CVO795" s="134"/>
      <c r="CVP795" s="134"/>
      <c r="CVQ795" s="134"/>
      <c r="CVR795" s="134"/>
      <c r="CVS795" s="134"/>
      <c r="CVT795" s="134"/>
      <c r="CVU795" s="134"/>
      <c r="CVV795" s="134"/>
      <c r="CVW795" s="134"/>
      <c r="CVX795" s="134"/>
      <c r="CVY795" s="134"/>
      <c r="CVZ795" s="134"/>
      <c r="CWA795" s="134"/>
      <c r="CWB795" s="134"/>
      <c r="CWC795" s="134"/>
      <c r="CWD795" s="134"/>
      <c r="CWE795" s="134"/>
      <c r="CWF795" s="134"/>
      <c r="CWG795" s="134"/>
      <c r="CWH795" s="134"/>
      <c r="CWI795" s="134"/>
      <c r="CWJ795" s="134"/>
      <c r="CWK795" s="134"/>
      <c r="CWL795" s="134"/>
      <c r="CWM795" s="134"/>
      <c r="CWN795" s="134"/>
      <c r="CWO795" s="134"/>
      <c r="CWP795" s="134"/>
      <c r="CWQ795" s="134"/>
      <c r="CWR795" s="134"/>
      <c r="CWS795" s="134"/>
      <c r="CWT795" s="134"/>
      <c r="CWU795" s="134"/>
      <c r="CWV795" s="134"/>
      <c r="CWW795" s="134"/>
      <c r="CWX795" s="134"/>
      <c r="CWY795" s="134"/>
      <c r="CWZ795" s="134"/>
      <c r="CXA795" s="134"/>
      <c r="CXB795" s="134"/>
      <c r="CXC795" s="134"/>
      <c r="CXD795" s="134"/>
      <c r="CXE795" s="134"/>
      <c r="CXF795" s="134"/>
      <c r="CXG795" s="134"/>
      <c r="CXH795" s="134"/>
      <c r="CXI795" s="134"/>
      <c r="CXJ795" s="134"/>
      <c r="CXK795" s="134"/>
      <c r="CXL795" s="134"/>
      <c r="CXM795" s="134"/>
      <c r="CXN795" s="134"/>
      <c r="CXO795" s="134"/>
      <c r="CXP795" s="134"/>
      <c r="CXQ795" s="134"/>
      <c r="CXR795" s="134"/>
      <c r="CXS795" s="134"/>
      <c r="CXT795" s="134"/>
      <c r="CXU795" s="134"/>
      <c r="CXV795" s="134"/>
      <c r="CXW795" s="134"/>
      <c r="CXX795" s="134"/>
      <c r="CXY795" s="134"/>
      <c r="CXZ795" s="134"/>
      <c r="CYA795" s="134"/>
      <c r="CYB795" s="134"/>
      <c r="CYC795" s="134"/>
      <c r="CYD795" s="134"/>
      <c r="CYE795" s="134"/>
      <c r="CYF795" s="134"/>
      <c r="CYG795" s="134"/>
      <c r="CYH795" s="134"/>
      <c r="CYI795" s="134"/>
      <c r="CYJ795" s="134"/>
      <c r="CYK795" s="134"/>
      <c r="CYL795" s="134"/>
      <c r="CYM795" s="134"/>
      <c r="CYN795" s="134"/>
      <c r="CYO795" s="134"/>
      <c r="CYP795" s="134"/>
      <c r="CYQ795" s="134"/>
      <c r="CYR795" s="134"/>
      <c r="CYS795" s="134"/>
      <c r="CYT795" s="134"/>
      <c r="CYU795" s="134"/>
      <c r="CYV795" s="134"/>
      <c r="CYW795" s="134"/>
      <c r="CYX795" s="134"/>
      <c r="CYY795" s="134"/>
      <c r="CYZ795" s="134"/>
      <c r="CZA795" s="134"/>
      <c r="CZB795" s="134"/>
      <c r="CZC795" s="134"/>
      <c r="CZD795" s="134"/>
      <c r="CZE795" s="134"/>
      <c r="CZF795" s="134"/>
      <c r="CZG795" s="134"/>
      <c r="CZH795" s="134"/>
      <c r="CZI795" s="134"/>
      <c r="CZJ795" s="134"/>
      <c r="CZK795" s="134"/>
      <c r="CZL795" s="134"/>
      <c r="CZM795" s="134"/>
      <c r="CZN795" s="134"/>
      <c r="CZO795" s="134"/>
      <c r="CZP795" s="134"/>
      <c r="CZQ795" s="134"/>
      <c r="CZR795" s="134"/>
      <c r="CZS795" s="134"/>
      <c r="CZT795" s="134"/>
      <c r="CZU795" s="134"/>
      <c r="CZV795" s="134"/>
      <c r="CZW795" s="134"/>
      <c r="CZX795" s="134"/>
      <c r="CZY795" s="134"/>
      <c r="CZZ795" s="134"/>
      <c r="DAA795" s="134"/>
      <c r="DAB795" s="134"/>
      <c r="DAC795" s="134"/>
      <c r="DAD795" s="134"/>
      <c r="DAE795" s="134"/>
      <c r="DAF795" s="134"/>
      <c r="DAG795" s="134"/>
      <c r="DAH795" s="134"/>
      <c r="DAI795" s="134"/>
      <c r="DAJ795" s="134"/>
      <c r="DAK795" s="134"/>
      <c r="DAL795" s="134"/>
      <c r="DAM795" s="134"/>
      <c r="DAN795" s="134"/>
      <c r="DAO795" s="134"/>
      <c r="DAP795" s="134"/>
      <c r="DAQ795" s="134"/>
      <c r="DAR795" s="134"/>
      <c r="DAS795" s="134"/>
      <c r="DAT795" s="134"/>
      <c r="DAU795" s="134"/>
      <c r="DAV795" s="134"/>
      <c r="DAW795" s="134"/>
      <c r="DAX795" s="134"/>
      <c r="DAY795" s="134"/>
      <c r="DAZ795" s="134"/>
      <c r="DBA795" s="134"/>
      <c r="DBB795" s="134"/>
      <c r="DBC795" s="134"/>
      <c r="DBD795" s="134"/>
      <c r="DBE795" s="134"/>
      <c r="DBF795" s="134"/>
      <c r="DBG795" s="134"/>
      <c r="DBH795" s="134"/>
      <c r="DBI795" s="134"/>
      <c r="DBJ795" s="134"/>
      <c r="DBK795" s="134"/>
      <c r="DBL795" s="134"/>
      <c r="DBM795" s="134"/>
      <c r="DBN795" s="134"/>
      <c r="DBO795" s="134"/>
      <c r="DBP795" s="134"/>
      <c r="DBQ795" s="134"/>
      <c r="DBR795" s="134"/>
      <c r="DBS795" s="134"/>
      <c r="DBT795" s="134"/>
      <c r="DBU795" s="134"/>
      <c r="DBV795" s="134"/>
      <c r="DBW795" s="134"/>
      <c r="DBX795" s="134"/>
      <c r="DBY795" s="134"/>
      <c r="DBZ795" s="134"/>
      <c r="DCA795" s="134"/>
      <c r="DCB795" s="134"/>
      <c r="DCC795" s="134"/>
      <c r="DCD795" s="134"/>
      <c r="DCE795" s="134"/>
      <c r="DCF795" s="134"/>
      <c r="DCG795" s="134"/>
      <c r="DCH795" s="134"/>
      <c r="DCI795" s="134"/>
      <c r="DCJ795" s="134"/>
      <c r="DCK795" s="134"/>
      <c r="DCL795" s="134"/>
      <c r="DCM795" s="134"/>
      <c r="DCN795" s="134"/>
      <c r="DCO795" s="134"/>
      <c r="DCP795" s="134"/>
      <c r="DCQ795" s="134"/>
      <c r="DCR795" s="134"/>
      <c r="DCS795" s="134"/>
      <c r="DCT795" s="134"/>
      <c r="DCU795" s="134"/>
      <c r="DCV795" s="134"/>
      <c r="DCW795" s="134"/>
      <c r="DCX795" s="134"/>
      <c r="DCY795" s="134"/>
      <c r="DCZ795" s="134"/>
      <c r="DDA795" s="134"/>
      <c r="DDB795" s="134"/>
      <c r="DDC795" s="134"/>
      <c r="DDD795" s="134"/>
      <c r="DDE795" s="134"/>
      <c r="DDF795" s="134"/>
      <c r="DDG795" s="134"/>
      <c r="DDH795" s="134"/>
      <c r="DDI795" s="134"/>
      <c r="DDJ795" s="134"/>
      <c r="DDK795" s="134"/>
      <c r="DDL795" s="134"/>
      <c r="DDM795" s="134"/>
      <c r="DDN795" s="134"/>
      <c r="DDO795" s="134"/>
      <c r="DDP795" s="134"/>
      <c r="DDQ795" s="134"/>
      <c r="DDR795" s="134"/>
      <c r="DDS795" s="134"/>
      <c r="DDT795" s="134"/>
      <c r="DDU795" s="134"/>
      <c r="DDV795" s="134"/>
      <c r="DDW795" s="134"/>
      <c r="DDX795" s="134"/>
      <c r="DDY795" s="134"/>
      <c r="DDZ795" s="134"/>
      <c r="DEA795" s="134"/>
      <c r="DEB795" s="134"/>
      <c r="DEC795" s="134"/>
      <c r="DED795" s="134"/>
      <c r="DEE795" s="134"/>
      <c r="DEF795" s="134"/>
      <c r="DEG795" s="134"/>
      <c r="DEH795" s="134"/>
      <c r="DEI795" s="134"/>
      <c r="DEJ795" s="134"/>
      <c r="DEK795" s="134"/>
      <c r="DEL795" s="134"/>
      <c r="DEM795" s="134"/>
      <c r="DEN795" s="134"/>
      <c r="DEO795" s="134"/>
      <c r="DEP795" s="134"/>
      <c r="DEQ795" s="134"/>
      <c r="DER795" s="134"/>
      <c r="DES795" s="134"/>
      <c r="DET795" s="134"/>
      <c r="DEU795" s="134"/>
      <c r="DEV795" s="134"/>
      <c r="DEW795" s="134"/>
      <c r="DEX795" s="134"/>
      <c r="DEY795" s="134"/>
      <c r="DEZ795" s="134"/>
      <c r="DFA795" s="134"/>
      <c r="DFB795" s="134"/>
      <c r="DFC795" s="134"/>
      <c r="DFD795" s="134"/>
      <c r="DFE795" s="134"/>
      <c r="DFF795" s="134"/>
      <c r="DFG795" s="134"/>
      <c r="DFH795" s="134"/>
      <c r="DFI795" s="134"/>
      <c r="DFJ795" s="134"/>
      <c r="DFK795" s="134"/>
      <c r="DFL795" s="134"/>
      <c r="DFM795" s="134"/>
      <c r="DFN795" s="134"/>
      <c r="DFO795" s="134"/>
      <c r="DFP795" s="134"/>
      <c r="DFQ795" s="134"/>
      <c r="DFR795" s="134"/>
      <c r="DFS795" s="134"/>
      <c r="DFT795" s="134"/>
      <c r="DFU795" s="134"/>
      <c r="DFV795" s="134"/>
      <c r="DFW795" s="134"/>
      <c r="DFX795" s="134"/>
      <c r="DFY795" s="134"/>
      <c r="DFZ795" s="134"/>
      <c r="DGA795" s="134"/>
      <c r="DGB795" s="134"/>
      <c r="DGC795" s="134"/>
      <c r="DGD795" s="134"/>
      <c r="DGE795" s="134"/>
      <c r="DGF795" s="134"/>
      <c r="DGG795" s="134"/>
      <c r="DGH795" s="134"/>
      <c r="DGI795" s="134"/>
      <c r="DGJ795" s="134"/>
      <c r="DGK795" s="134"/>
      <c r="DGL795" s="134"/>
      <c r="DGM795" s="134"/>
      <c r="DGN795" s="134"/>
      <c r="DGO795" s="134"/>
      <c r="DGP795" s="134"/>
      <c r="DGQ795" s="134"/>
      <c r="DGR795" s="134"/>
      <c r="DGS795" s="134"/>
      <c r="DGT795" s="134"/>
      <c r="DGU795" s="134"/>
      <c r="DGV795" s="134"/>
      <c r="DGW795" s="134"/>
      <c r="DGX795" s="134"/>
      <c r="DGY795" s="134"/>
      <c r="DGZ795" s="134"/>
      <c r="DHA795" s="134"/>
      <c r="DHB795" s="134"/>
      <c r="DHC795" s="134"/>
      <c r="DHD795" s="134"/>
      <c r="DHE795" s="134"/>
      <c r="DHF795" s="134"/>
      <c r="DHG795" s="134"/>
      <c r="DHH795" s="134"/>
      <c r="DHI795" s="134"/>
      <c r="DHJ795" s="134"/>
      <c r="DHK795" s="134"/>
      <c r="DHL795" s="134"/>
      <c r="DHM795" s="134"/>
      <c r="DHN795" s="134"/>
      <c r="DHO795" s="134"/>
      <c r="DHP795" s="134"/>
      <c r="DHQ795" s="134"/>
      <c r="DHR795" s="134"/>
      <c r="DHS795" s="134"/>
      <c r="DHT795" s="134"/>
      <c r="DHU795" s="134"/>
      <c r="DHV795" s="134"/>
      <c r="DHW795" s="134"/>
      <c r="DHX795" s="134"/>
      <c r="DHY795" s="134"/>
      <c r="DHZ795" s="134"/>
      <c r="DIA795" s="134"/>
      <c r="DIB795" s="134"/>
      <c r="DIC795" s="134"/>
      <c r="DID795" s="134"/>
      <c r="DIE795" s="134"/>
      <c r="DIF795" s="134"/>
      <c r="DIG795" s="134"/>
      <c r="DIH795" s="134"/>
      <c r="DII795" s="134"/>
      <c r="DIJ795" s="134"/>
      <c r="DIK795" s="134"/>
      <c r="DIL795" s="134"/>
      <c r="DIM795" s="134"/>
      <c r="DIN795" s="134"/>
      <c r="DIO795" s="134"/>
      <c r="DIP795" s="134"/>
      <c r="DIQ795" s="134"/>
      <c r="DIR795" s="134"/>
      <c r="DIS795" s="134"/>
      <c r="DIT795" s="134"/>
      <c r="DIU795" s="134"/>
      <c r="DIV795" s="134"/>
      <c r="DIW795" s="134"/>
      <c r="DIX795" s="134"/>
      <c r="DIY795" s="134"/>
      <c r="DIZ795" s="134"/>
      <c r="DJA795" s="134"/>
      <c r="DJB795" s="134"/>
      <c r="DJC795" s="134"/>
      <c r="DJD795" s="134"/>
      <c r="DJE795" s="134"/>
      <c r="DJF795" s="134"/>
      <c r="DJG795" s="134"/>
      <c r="DJH795" s="134"/>
      <c r="DJI795" s="134"/>
      <c r="DJJ795" s="134"/>
      <c r="DJK795" s="134"/>
      <c r="DJL795" s="134"/>
      <c r="DJM795" s="134"/>
      <c r="DJN795" s="134"/>
      <c r="DJO795" s="134"/>
      <c r="DJP795" s="134"/>
      <c r="DJQ795" s="134"/>
      <c r="DJR795" s="134"/>
      <c r="DJS795" s="134"/>
      <c r="DJT795" s="134"/>
      <c r="DJU795" s="134"/>
      <c r="DJV795" s="134"/>
      <c r="DJW795" s="134"/>
      <c r="DJX795" s="134"/>
      <c r="DJY795" s="134"/>
      <c r="DJZ795" s="134"/>
      <c r="DKA795" s="134"/>
      <c r="DKB795" s="134"/>
      <c r="DKC795" s="134"/>
      <c r="DKD795" s="134"/>
      <c r="DKE795" s="134"/>
      <c r="DKF795" s="134"/>
      <c r="DKG795" s="134"/>
      <c r="DKH795" s="134"/>
      <c r="DKI795" s="134"/>
      <c r="DKJ795" s="134"/>
      <c r="DKK795" s="134"/>
      <c r="DKL795" s="134"/>
      <c r="DKM795" s="134"/>
      <c r="DKN795" s="134"/>
      <c r="DKO795" s="134"/>
      <c r="DKP795" s="134"/>
      <c r="DKQ795" s="134"/>
      <c r="DKR795" s="134"/>
      <c r="DKS795" s="134"/>
      <c r="DKT795" s="134"/>
      <c r="DKU795" s="134"/>
      <c r="DKV795" s="134"/>
      <c r="DKW795" s="134"/>
      <c r="DKX795" s="134"/>
      <c r="DKY795" s="134"/>
      <c r="DKZ795" s="134"/>
      <c r="DLA795" s="134"/>
      <c r="DLB795" s="134"/>
      <c r="DLC795" s="134"/>
      <c r="DLD795" s="134"/>
      <c r="DLE795" s="134"/>
      <c r="DLF795" s="134"/>
      <c r="DLG795" s="134"/>
      <c r="DLH795" s="134"/>
      <c r="DLI795" s="134"/>
      <c r="DLJ795" s="134"/>
      <c r="DLK795" s="134"/>
      <c r="DLL795" s="134"/>
      <c r="DLM795" s="134"/>
      <c r="DLN795" s="134"/>
      <c r="DLO795" s="134"/>
      <c r="DLP795" s="134"/>
      <c r="DLQ795" s="134"/>
      <c r="DLR795" s="134"/>
      <c r="DLS795" s="134"/>
      <c r="DLT795" s="134"/>
      <c r="DLU795" s="134"/>
      <c r="DLV795" s="134"/>
      <c r="DLW795" s="134"/>
      <c r="DLX795" s="134"/>
      <c r="DLY795" s="134"/>
      <c r="DLZ795" s="134"/>
      <c r="DMA795" s="134"/>
      <c r="DMB795" s="134"/>
      <c r="DMC795" s="134"/>
      <c r="DMD795" s="134"/>
      <c r="DME795" s="134"/>
      <c r="DMF795" s="134"/>
      <c r="DMG795" s="134"/>
      <c r="DMH795" s="134"/>
      <c r="DMI795" s="134"/>
      <c r="DMJ795" s="134"/>
      <c r="DMK795" s="134"/>
      <c r="DML795" s="134"/>
      <c r="DMM795" s="134"/>
      <c r="DMN795" s="134"/>
      <c r="DMO795" s="134"/>
      <c r="DMP795" s="134"/>
      <c r="DMQ795" s="134"/>
      <c r="DMR795" s="134"/>
      <c r="DMS795" s="134"/>
      <c r="DMT795" s="134"/>
      <c r="DMU795" s="134"/>
      <c r="DMV795" s="134"/>
      <c r="DMW795" s="134"/>
      <c r="DMX795" s="134"/>
      <c r="DMY795" s="134"/>
      <c r="DMZ795" s="134"/>
      <c r="DNA795" s="134"/>
      <c r="DNB795" s="134"/>
      <c r="DNC795" s="134"/>
      <c r="DND795" s="134"/>
      <c r="DNE795" s="134"/>
      <c r="DNF795" s="134"/>
      <c r="DNG795" s="134"/>
      <c r="DNH795" s="134"/>
      <c r="DNI795" s="134"/>
      <c r="DNJ795" s="134"/>
      <c r="DNK795" s="134"/>
      <c r="DNL795" s="134"/>
      <c r="DNM795" s="134"/>
      <c r="DNN795" s="134"/>
      <c r="DNO795" s="134"/>
      <c r="DNP795" s="134"/>
      <c r="DNQ795" s="134"/>
      <c r="DNR795" s="134"/>
      <c r="DNS795" s="134"/>
    </row>
    <row r="796" spans="1:3087" s="11" customFormat="1" x14ac:dyDescent="0.2">
      <c r="A796" s="4" t="s">
        <v>172</v>
      </c>
      <c r="B796" s="18" t="s">
        <v>213</v>
      </c>
      <c r="C796" s="4">
        <f>SUM(C797:C806)</f>
        <v>42</v>
      </c>
      <c r="D796" s="32"/>
      <c r="E796" s="32">
        <f>SUM(E797:E806)</f>
        <v>2025865</v>
      </c>
      <c r="F796" s="32"/>
      <c r="G796" s="32">
        <f>SUM(G797:G806)</f>
        <v>212133</v>
      </c>
      <c r="H796" s="32"/>
      <c r="I796" s="47"/>
      <c r="J796" s="32"/>
      <c r="K796" s="32">
        <f>SUM(K797:K806)</f>
        <v>1660812.5370600002</v>
      </c>
      <c r="L796" s="32"/>
      <c r="M796" s="32">
        <f>SUM(M797:M806)</f>
        <v>3898810.53706</v>
      </c>
      <c r="N796" s="32"/>
      <c r="O796" s="190">
        <f>SUM(O797:O806)</f>
        <v>3898810.53706</v>
      </c>
      <c r="P796" s="201"/>
      <c r="Q796" s="201"/>
      <c r="R796" s="201"/>
      <c r="S796" s="201"/>
      <c r="T796" s="201"/>
      <c r="U796" s="201"/>
      <c r="V796" s="201"/>
      <c r="W796" s="201"/>
      <c r="X796" s="201"/>
      <c r="Y796" s="201"/>
      <c r="Z796" s="201"/>
      <c r="AA796" s="201"/>
      <c r="AB796" s="201"/>
      <c r="AC796" s="201"/>
      <c r="AD796" s="201"/>
      <c r="AE796" s="201"/>
      <c r="AF796" s="201"/>
      <c r="AG796" s="201"/>
      <c r="AH796" s="201"/>
      <c r="AI796" s="201"/>
      <c r="AJ796" s="201"/>
      <c r="AK796" s="201"/>
      <c r="AL796" s="201"/>
      <c r="AM796" s="201"/>
      <c r="AN796" s="201"/>
      <c r="AO796" s="201"/>
      <c r="AP796" s="201"/>
      <c r="AQ796" s="201"/>
      <c r="AR796" s="201"/>
      <c r="AS796" s="201"/>
      <c r="AT796" s="201"/>
      <c r="AU796" s="201"/>
      <c r="AV796" s="201"/>
      <c r="AW796" s="201"/>
      <c r="AX796" s="201"/>
      <c r="AY796" s="201"/>
      <c r="AZ796" s="201"/>
      <c r="BA796" s="201"/>
      <c r="BB796" s="201"/>
      <c r="BC796" s="201"/>
      <c r="BD796" s="201"/>
      <c r="BE796" s="201"/>
      <c r="BF796" s="201"/>
      <c r="BG796" s="201"/>
      <c r="BH796" s="201"/>
      <c r="BI796" s="201"/>
      <c r="BJ796" s="201"/>
      <c r="BK796" s="201"/>
      <c r="BL796" s="201"/>
      <c r="BM796" s="201"/>
      <c r="BN796" s="201"/>
      <c r="BO796" s="201"/>
      <c r="BP796" s="201"/>
      <c r="BQ796" s="201"/>
      <c r="BR796" s="201"/>
      <c r="BS796" s="201"/>
      <c r="BT796" s="201"/>
      <c r="BU796" s="201"/>
      <c r="BV796" s="201"/>
      <c r="BW796" s="201"/>
    </row>
    <row r="797" spans="1:3087" ht="25.5" x14ac:dyDescent="0.2">
      <c r="A797" s="6" t="s">
        <v>96</v>
      </c>
      <c r="B797" s="16" t="s">
        <v>154</v>
      </c>
      <c r="C797" s="6"/>
      <c r="D797" s="31"/>
      <c r="E797" s="31"/>
      <c r="F797" s="31"/>
      <c r="G797" s="31"/>
      <c r="H797" s="31"/>
      <c r="I797" s="41"/>
      <c r="J797" s="31"/>
      <c r="K797" s="31"/>
      <c r="L797" s="31"/>
      <c r="M797" s="31"/>
      <c r="N797" s="31"/>
      <c r="O797" s="192"/>
    </row>
    <row r="798" spans="1:3087" x14ac:dyDescent="0.2">
      <c r="A798" s="6"/>
      <c r="B798" s="10" t="s">
        <v>280</v>
      </c>
      <c r="C798" s="6">
        <v>14</v>
      </c>
      <c r="D798" s="31">
        <v>42278</v>
      </c>
      <c r="E798" s="31">
        <f>C798*D798</f>
        <v>591892</v>
      </c>
      <c r="F798" s="31">
        <f t="shared" ref="F798:F806" si="489">ROUND((D798*10.47143%),0)</f>
        <v>4427</v>
      </c>
      <c r="G798" s="31">
        <f>ROUND((C798*F798),0)</f>
        <v>61978</v>
      </c>
      <c r="H798" s="31">
        <v>16551.61</v>
      </c>
      <c r="I798" s="41">
        <v>2.4129999999999998</v>
      </c>
      <c r="J798" s="31">
        <f>H798*I798</f>
        <v>39939.034930000002</v>
      </c>
      <c r="K798" s="31">
        <f>C798*J798-16626.93</f>
        <v>542519.55901999993</v>
      </c>
      <c r="L798" s="31">
        <f t="shared" ref="L798:M802" si="490">D798+F798+J798</f>
        <v>86644.034929999994</v>
      </c>
      <c r="M798" s="31">
        <f t="shared" si="490"/>
        <v>1196389.55902</v>
      </c>
      <c r="N798" s="31"/>
      <c r="O798" s="192">
        <f t="shared" ref="O798:O802" si="491">M798+N798</f>
        <v>1196389.55902</v>
      </c>
    </row>
    <row r="799" spans="1:3087" x14ac:dyDescent="0.2">
      <c r="A799" s="6"/>
      <c r="B799" s="103" t="s">
        <v>309</v>
      </c>
      <c r="C799" s="6">
        <v>16</v>
      </c>
      <c r="D799" s="31">
        <v>42278</v>
      </c>
      <c r="E799" s="31">
        <f>C799*D799</f>
        <v>676448</v>
      </c>
      <c r="F799" s="31">
        <f t="shared" si="489"/>
        <v>4427</v>
      </c>
      <c r="G799" s="31">
        <f t="shared" ref="G799:G802" si="492">ROUND((C799*F799),0)</f>
        <v>70832</v>
      </c>
      <c r="H799" s="31">
        <v>16551.61</v>
      </c>
      <c r="I799" s="41">
        <v>2.4129999999999998</v>
      </c>
      <c r="J799" s="31">
        <f>H799*I799</f>
        <v>39939.034930000002</v>
      </c>
      <c r="K799" s="31">
        <f t="shared" ref="K799:K802" si="493">C799*J799</f>
        <v>639024.55888000003</v>
      </c>
      <c r="L799" s="31">
        <f t="shared" si="490"/>
        <v>86644.034929999994</v>
      </c>
      <c r="M799" s="31">
        <f t="shared" si="490"/>
        <v>1386304.5588799999</v>
      </c>
      <c r="N799" s="31"/>
      <c r="O799" s="192">
        <f t="shared" si="491"/>
        <v>1386304.5588799999</v>
      </c>
    </row>
    <row r="800" spans="1:3087" ht="25.5" x14ac:dyDescent="0.2">
      <c r="A800" s="6"/>
      <c r="B800" s="7" t="s">
        <v>303</v>
      </c>
      <c r="C800" s="6">
        <v>1</v>
      </c>
      <c r="D800" s="31">
        <v>155377</v>
      </c>
      <c r="E800" s="31">
        <f>C800*D800</f>
        <v>155377</v>
      </c>
      <c r="F800" s="31">
        <f t="shared" si="489"/>
        <v>16270</v>
      </c>
      <c r="G800" s="31">
        <f t="shared" si="492"/>
        <v>16270</v>
      </c>
      <c r="H800" s="31">
        <v>16551.61</v>
      </c>
      <c r="I800" s="41">
        <v>2.4129999999999998</v>
      </c>
      <c r="J800" s="31">
        <f t="shared" ref="J800:J802" si="494">H800*I800</f>
        <v>39939.034930000002</v>
      </c>
      <c r="K800" s="31">
        <f t="shared" si="493"/>
        <v>39939.034930000002</v>
      </c>
      <c r="L800" s="31">
        <f t="shared" si="490"/>
        <v>211586.03492999999</v>
      </c>
      <c r="M800" s="31">
        <f t="shared" si="490"/>
        <v>211586.03492999999</v>
      </c>
      <c r="N800" s="31"/>
      <c r="O800" s="192">
        <f t="shared" si="491"/>
        <v>211586.03492999999</v>
      </c>
    </row>
    <row r="801" spans="1:75" ht="38.25" x14ac:dyDescent="0.2">
      <c r="A801" s="6" t="s">
        <v>97</v>
      </c>
      <c r="B801" s="16" t="s">
        <v>173</v>
      </c>
      <c r="C801" s="6"/>
      <c r="D801" s="31"/>
      <c r="E801" s="31"/>
      <c r="F801" s="31"/>
      <c r="G801" s="31"/>
      <c r="H801" s="31"/>
      <c r="I801" s="41"/>
      <c r="J801" s="31"/>
      <c r="K801" s="31"/>
      <c r="L801" s="31"/>
      <c r="M801" s="31"/>
      <c r="N801" s="31"/>
      <c r="O801" s="192"/>
    </row>
    <row r="802" spans="1:75" x14ac:dyDescent="0.2">
      <c r="A802" s="6"/>
      <c r="B802" s="10" t="s">
        <v>280</v>
      </c>
      <c r="C802" s="6">
        <v>7</v>
      </c>
      <c r="D802" s="31">
        <v>48812</v>
      </c>
      <c r="E802" s="31">
        <f>C802*D802</f>
        <v>341684</v>
      </c>
      <c r="F802" s="31">
        <f t="shared" si="489"/>
        <v>5111</v>
      </c>
      <c r="G802" s="31">
        <f t="shared" si="492"/>
        <v>35777</v>
      </c>
      <c r="H802" s="31">
        <v>16551.61</v>
      </c>
      <c r="I802" s="41">
        <v>2.4129999999999998</v>
      </c>
      <c r="J802" s="31">
        <f t="shared" si="494"/>
        <v>39939.034930000002</v>
      </c>
      <c r="K802" s="31">
        <f t="shared" si="493"/>
        <v>279573.24450999999</v>
      </c>
      <c r="L802" s="31">
        <f t="shared" si="490"/>
        <v>93862.034929999994</v>
      </c>
      <c r="M802" s="31">
        <f t="shared" si="490"/>
        <v>657034.24450999999</v>
      </c>
      <c r="N802" s="31"/>
      <c r="O802" s="192">
        <f t="shared" si="491"/>
        <v>657034.24450999999</v>
      </c>
    </row>
    <row r="803" spans="1:75" hidden="1" x14ac:dyDescent="0.2">
      <c r="A803" s="6"/>
      <c r="B803" s="17" t="s">
        <v>92</v>
      </c>
      <c r="C803" s="6"/>
      <c r="D803" s="31"/>
      <c r="E803" s="31"/>
      <c r="F803" s="31">
        <f t="shared" si="489"/>
        <v>0</v>
      </c>
      <c r="G803" s="31"/>
      <c r="H803" s="31">
        <v>16551.61</v>
      </c>
      <c r="I803" s="41">
        <v>2.4129999999999998</v>
      </c>
      <c r="J803" s="31"/>
      <c r="K803" s="31"/>
      <c r="L803" s="31"/>
      <c r="M803" s="31"/>
      <c r="N803" s="31"/>
      <c r="O803" s="192"/>
    </row>
    <row r="804" spans="1:75" hidden="1" x14ac:dyDescent="0.2">
      <c r="A804" s="6"/>
      <c r="B804" s="10" t="s">
        <v>156</v>
      </c>
      <c r="C804" s="6"/>
      <c r="D804" s="31"/>
      <c r="E804" s="31"/>
      <c r="F804" s="31">
        <f t="shared" si="489"/>
        <v>0</v>
      </c>
      <c r="G804" s="31"/>
      <c r="H804" s="31">
        <v>16551.61</v>
      </c>
      <c r="I804" s="41">
        <v>2.4129999999999998</v>
      </c>
      <c r="J804" s="31"/>
      <c r="K804" s="31"/>
      <c r="L804" s="31"/>
      <c r="M804" s="31"/>
      <c r="N804" s="31"/>
      <c r="O804" s="192"/>
    </row>
    <row r="805" spans="1:75" hidden="1" x14ac:dyDescent="0.2">
      <c r="A805" s="6"/>
      <c r="B805" s="17" t="s">
        <v>157</v>
      </c>
      <c r="C805" s="6"/>
      <c r="D805" s="31"/>
      <c r="E805" s="31"/>
      <c r="F805" s="31">
        <f t="shared" si="489"/>
        <v>0</v>
      </c>
      <c r="G805" s="31"/>
      <c r="H805" s="31">
        <v>16551.61</v>
      </c>
      <c r="I805" s="41">
        <v>2.4129999999999998</v>
      </c>
      <c r="J805" s="31"/>
      <c r="K805" s="31"/>
      <c r="L805" s="31"/>
      <c r="M805" s="31"/>
      <c r="N805" s="31"/>
      <c r="O805" s="192"/>
    </row>
    <row r="806" spans="1:75" ht="38.25" x14ac:dyDescent="0.2">
      <c r="A806" s="6" t="s">
        <v>98</v>
      </c>
      <c r="B806" s="16" t="s">
        <v>158</v>
      </c>
      <c r="C806" s="6">
        <v>4</v>
      </c>
      <c r="D806" s="31">
        <v>65116</v>
      </c>
      <c r="E806" s="31">
        <f>C806*D806</f>
        <v>260464</v>
      </c>
      <c r="F806" s="31">
        <f t="shared" si="489"/>
        <v>6819</v>
      </c>
      <c r="G806" s="31">
        <f t="shared" ref="G806" si="495">ROUND((C806*F806),0)</f>
        <v>27276</v>
      </c>
      <c r="H806" s="31">
        <v>16551.61</v>
      </c>
      <c r="I806" s="41">
        <v>2.4129999999999998</v>
      </c>
      <c r="J806" s="31">
        <f t="shared" ref="J806" si="496">H806*I806</f>
        <v>39939.034930000002</v>
      </c>
      <c r="K806" s="31">
        <f t="shared" ref="K806" si="497">C806*J806</f>
        <v>159756.13972000001</v>
      </c>
      <c r="L806" s="31">
        <f t="shared" ref="L806:M806" si="498">D806+F806+J806</f>
        <v>111874.03492999999</v>
      </c>
      <c r="M806" s="31">
        <f t="shared" si="498"/>
        <v>447496.13971999998</v>
      </c>
      <c r="N806" s="31"/>
      <c r="O806" s="192">
        <f t="shared" ref="O806" si="499">M806+N806</f>
        <v>447496.13971999998</v>
      </c>
    </row>
    <row r="807" spans="1:75" s="11" customFormat="1" x14ac:dyDescent="0.2">
      <c r="A807" s="4">
        <v>5</v>
      </c>
      <c r="B807" s="5" t="s">
        <v>174</v>
      </c>
      <c r="C807" s="4">
        <f>SUM(C808:C819)</f>
        <v>42</v>
      </c>
      <c r="D807" s="32"/>
      <c r="E807" s="32">
        <f>SUM(E808:E819)</f>
        <v>2852672</v>
      </c>
      <c r="F807" s="31"/>
      <c r="G807" s="32">
        <f>SUM(G808:G819)</f>
        <v>298718</v>
      </c>
      <c r="H807" s="32"/>
      <c r="I807" s="47"/>
      <c r="J807" s="31"/>
      <c r="K807" s="32">
        <f>SUM(K808:K819)</f>
        <v>1677439.4670600002</v>
      </c>
      <c r="L807" s="32"/>
      <c r="M807" s="32">
        <f>SUM(M808:M819)</f>
        <v>4828829.4670599997</v>
      </c>
      <c r="N807" s="32"/>
      <c r="O807" s="190">
        <f>SUM(O808:O819)</f>
        <v>4828829.4670599997</v>
      </c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1"/>
      <c r="AT807" s="201"/>
      <c r="AU807" s="201"/>
      <c r="AV807" s="201"/>
      <c r="AW807" s="201"/>
      <c r="AX807" s="201"/>
      <c r="AY807" s="201"/>
      <c r="AZ807" s="201"/>
      <c r="BA807" s="201"/>
      <c r="BB807" s="201"/>
      <c r="BC807" s="201"/>
      <c r="BD807" s="201"/>
      <c r="BE807" s="201"/>
      <c r="BF807" s="201"/>
      <c r="BG807" s="201"/>
      <c r="BH807" s="201"/>
      <c r="BI807" s="201"/>
      <c r="BJ807" s="201"/>
      <c r="BK807" s="201"/>
      <c r="BL807" s="201"/>
      <c r="BM807" s="201"/>
      <c r="BN807" s="201"/>
      <c r="BO807" s="201"/>
      <c r="BP807" s="201"/>
      <c r="BQ807" s="201"/>
      <c r="BR807" s="201"/>
      <c r="BS807" s="201"/>
      <c r="BT807" s="201"/>
      <c r="BU807" s="201"/>
      <c r="BV807" s="201"/>
      <c r="BW807" s="201"/>
    </row>
    <row r="808" spans="1:75" ht="25.5" x14ac:dyDescent="0.2">
      <c r="A808" s="6" t="s">
        <v>99</v>
      </c>
      <c r="B808" s="14" t="s">
        <v>160</v>
      </c>
      <c r="C808" s="6"/>
      <c r="D808" s="31"/>
      <c r="E808" s="31"/>
      <c r="F808" s="31"/>
      <c r="G808" s="31"/>
      <c r="H808" s="31"/>
      <c r="I808" s="41"/>
      <c r="J808" s="31"/>
      <c r="K808" s="31"/>
      <c r="L808" s="31"/>
      <c r="M808" s="31"/>
      <c r="N808" s="31"/>
      <c r="O808" s="192"/>
    </row>
    <row r="809" spans="1:75" x14ac:dyDescent="0.2">
      <c r="A809" s="6"/>
      <c r="B809" s="10" t="s">
        <v>280</v>
      </c>
      <c r="C809" s="6">
        <v>0</v>
      </c>
      <c r="D809" s="31">
        <v>53434</v>
      </c>
      <c r="E809" s="31">
        <f>C809*D809</f>
        <v>0</v>
      </c>
      <c r="F809" s="31">
        <f t="shared" ref="F809:F810" si="500">ROUND((D809*10.47143%),0)</f>
        <v>5595</v>
      </c>
      <c r="G809" s="31">
        <f t="shared" ref="G809:G810" si="501">ROUND((C809*F809),0)</f>
        <v>0</v>
      </c>
      <c r="H809" s="31">
        <v>16551.61</v>
      </c>
      <c r="I809" s="41">
        <v>2.4129999999999998</v>
      </c>
      <c r="J809" s="31">
        <f t="shared" ref="J809:J810" si="502">H809*I809</f>
        <v>39939.034930000002</v>
      </c>
      <c r="K809" s="31">
        <f t="shared" ref="K809:K810" si="503">C809*J809</f>
        <v>0</v>
      </c>
      <c r="L809" s="31">
        <f t="shared" ref="L809:M810" si="504">D809+F809+J809</f>
        <v>98968.034929999994</v>
      </c>
      <c r="M809" s="31">
        <f t="shared" si="504"/>
        <v>0</v>
      </c>
      <c r="N809" s="31"/>
      <c r="O809" s="192">
        <f t="shared" ref="O809:O810" si="505">M809+N809</f>
        <v>0</v>
      </c>
    </row>
    <row r="810" spans="1:75" x14ac:dyDescent="0.2">
      <c r="A810" s="6"/>
      <c r="B810" s="103" t="s">
        <v>309</v>
      </c>
      <c r="C810" s="6">
        <v>16</v>
      </c>
      <c r="D810" s="31">
        <v>54350</v>
      </c>
      <c r="E810" s="31">
        <f>C810*D810</f>
        <v>869600</v>
      </c>
      <c r="F810" s="31">
        <f t="shared" si="500"/>
        <v>5691</v>
      </c>
      <c r="G810" s="31">
        <f t="shared" si="501"/>
        <v>91056</v>
      </c>
      <c r="H810" s="31">
        <v>16551.61</v>
      </c>
      <c r="I810" s="41">
        <v>2.4129999999999998</v>
      </c>
      <c r="J810" s="31">
        <f t="shared" si="502"/>
        <v>39939.034930000002</v>
      </c>
      <c r="K810" s="31">
        <f t="shared" si="503"/>
        <v>639024.55888000003</v>
      </c>
      <c r="L810" s="31">
        <f t="shared" si="504"/>
        <v>99980.034929999994</v>
      </c>
      <c r="M810" s="31">
        <f t="shared" si="504"/>
        <v>1599680.5588799999</v>
      </c>
      <c r="N810" s="31"/>
      <c r="O810" s="192">
        <f t="shared" si="505"/>
        <v>1599680.5588799999</v>
      </c>
    </row>
    <row r="811" spans="1:75" x14ac:dyDescent="0.2">
      <c r="A811" s="6"/>
      <c r="B811" s="7" t="s">
        <v>305</v>
      </c>
      <c r="C811" s="6"/>
      <c r="D811" s="31"/>
      <c r="E811" s="31"/>
      <c r="F811" s="31"/>
      <c r="G811" s="31"/>
      <c r="H811" s="31"/>
      <c r="I811" s="41"/>
      <c r="J811" s="31"/>
      <c r="K811" s="31"/>
      <c r="L811" s="31"/>
      <c r="M811" s="31"/>
      <c r="N811" s="31"/>
      <c r="O811" s="192"/>
    </row>
    <row r="812" spans="1:75" hidden="1" x14ac:dyDescent="0.2">
      <c r="A812" s="6"/>
      <c r="B812" s="103" t="s">
        <v>156</v>
      </c>
      <c r="C812" s="6"/>
      <c r="D812" s="31"/>
      <c r="E812" s="31"/>
      <c r="F812" s="31"/>
      <c r="G812" s="31"/>
      <c r="H812" s="31"/>
      <c r="I812" s="41"/>
      <c r="J812" s="31"/>
      <c r="K812" s="31"/>
      <c r="L812" s="31"/>
      <c r="M812" s="31"/>
      <c r="N812" s="31"/>
      <c r="O812" s="192"/>
    </row>
    <row r="813" spans="1:75" hidden="1" x14ac:dyDescent="0.2">
      <c r="A813" s="6"/>
      <c r="B813" s="7" t="s">
        <v>157</v>
      </c>
      <c r="C813" s="6"/>
      <c r="D813" s="31"/>
      <c r="E813" s="31"/>
      <c r="F813" s="31"/>
      <c r="G813" s="31"/>
      <c r="H813" s="31"/>
      <c r="I813" s="41"/>
      <c r="J813" s="31"/>
      <c r="K813" s="31"/>
      <c r="L813" s="31"/>
      <c r="M813" s="31"/>
      <c r="N813" s="31"/>
      <c r="O813" s="192"/>
    </row>
    <row r="814" spans="1:75" ht="38.25" x14ac:dyDescent="0.2">
      <c r="A814" s="6" t="s">
        <v>100</v>
      </c>
      <c r="B814" s="16" t="s">
        <v>175</v>
      </c>
      <c r="C814" s="6"/>
      <c r="D814" s="31"/>
      <c r="E814" s="31"/>
      <c r="F814" s="31"/>
      <c r="G814" s="31"/>
      <c r="H814" s="31"/>
      <c r="I814" s="41"/>
      <c r="J814" s="31"/>
      <c r="K814" s="31"/>
      <c r="L814" s="31"/>
      <c r="M814" s="31"/>
      <c r="N814" s="31"/>
      <c r="O814" s="192"/>
    </row>
    <row r="815" spans="1:75" hidden="1" x14ac:dyDescent="0.2">
      <c r="A815" s="6"/>
      <c r="B815" s="10" t="s">
        <v>91</v>
      </c>
      <c r="C815" s="6"/>
      <c r="D815" s="31"/>
      <c r="E815" s="31"/>
      <c r="F815" s="31"/>
      <c r="G815" s="31"/>
      <c r="H815" s="31"/>
      <c r="I815" s="41"/>
      <c r="J815" s="31"/>
      <c r="K815" s="31"/>
      <c r="L815" s="31"/>
      <c r="M815" s="31"/>
      <c r="N815" s="31"/>
      <c r="O815" s="192"/>
    </row>
    <row r="816" spans="1:75" hidden="1" x14ac:dyDescent="0.2">
      <c r="A816" s="6"/>
      <c r="B816" s="17" t="s">
        <v>92</v>
      </c>
      <c r="C816" s="6"/>
      <c r="D816" s="31"/>
      <c r="E816" s="31"/>
      <c r="F816" s="31"/>
      <c r="G816" s="31"/>
      <c r="H816" s="31"/>
      <c r="I816" s="41"/>
      <c r="J816" s="31"/>
      <c r="K816" s="31"/>
      <c r="L816" s="31"/>
      <c r="M816" s="31"/>
      <c r="N816" s="31"/>
      <c r="O816" s="192"/>
    </row>
    <row r="817" spans="1:3431" hidden="1" x14ac:dyDescent="0.2">
      <c r="A817" s="6"/>
      <c r="B817" s="10" t="s">
        <v>156</v>
      </c>
      <c r="C817" s="6"/>
      <c r="D817" s="31"/>
      <c r="E817" s="31"/>
      <c r="F817" s="31"/>
      <c r="G817" s="31"/>
      <c r="H817" s="31"/>
      <c r="I817" s="41"/>
      <c r="J817" s="31"/>
      <c r="K817" s="31"/>
      <c r="L817" s="31"/>
      <c r="M817" s="31"/>
      <c r="N817" s="31"/>
      <c r="O817" s="192"/>
    </row>
    <row r="818" spans="1:3431" hidden="1" x14ac:dyDescent="0.2">
      <c r="A818" s="6"/>
      <c r="B818" s="17" t="s">
        <v>157</v>
      </c>
      <c r="C818" s="6"/>
      <c r="D818" s="31"/>
      <c r="E818" s="31"/>
      <c r="F818" s="31"/>
      <c r="G818" s="31"/>
      <c r="H818" s="31"/>
      <c r="I818" s="41"/>
      <c r="J818" s="31"/>
      <c r="K818" s="31"/>
      <c r="L818" s="31"/>
      <c r="M818" s="31"/>
      <c r="N818" s="31"/>
      <c r="O818" s="192"/>
    </row>
    <row r="819" spans="1:3431" ht="38.25" x14ac:dyDescent="0.2">
      <c r="A819" s="6" t="s">
        <v>101</v>
      </c>
      <c r="B819" s="103" t="s">
        <v>162</v>
      </c>
      <c r="C819" s="6">
        <v>26</v>
      </c>
      <c r="D819" s="31">
        <v>76272</v>
      </c>
      <c r="E819" s="31">
        <f>C819*D819</f>
        <v>1983072</v>
      </c>
      <c r="F819" s="31">
        <f t="shared" ref="F819" si="506">ROUND((D819*10.47143%),0)</f>
        <v>7987</v>
      </c>
      <c r="G819" s="31">
        <f t="shared" ref="G819" si="507">ROUND((C819*F819),0)</f>
        <v>207662</v>
      </c>
      <c r="H819" s="31">
        <v>16551.61</v>
      </c>
      <c r="I819" s="41">
        <v>2.4129999999999998</v>
      </c>
      <c r="J819" s="31">
        <f t="shared" ref="J819" si="508">H819*I819</f>
        <v>39939.034930000002</v>
      </c>
      <c r="K819" s="31">
        <f t="shared" ref="K819" si="509">C819*J819</f>
        <v>1038414.90818</v>
      </c>
      <c r="L819" s="31">
        <f t="shared" ref="L819:M819" si="510">D819+F819+J819</f>
        <v>124198.03492999999</v>
      </c>
      <c r="M819" s="31">
        <f t="shared" si="510"/>
        <v>3229148.9081800003</v>
      </c>
      <c r="N819" s="31"/>
      <c r="O819" s="192">
        <f t="shared" ref="O819" si="511">M819+N819</f>
        <v>3229148.9081800003</v>
      </c>
    </row>
    <row r="820" spans="1:3431" s="11" customFormat="1" ht="15.75" customHeight="1" x14ac:dyDescent="0.2">
      <c r="A820" s="4">
        <v>6</v>
      </c>
      <c r="B820" s="5" t="s">
        <v>170</v>
      </c>
      <c r="C820" s="4">
        <f>SUM(C821:C831)</f>
        <v>0</v>
      </c>
      <c r="D820" s="32"/>
      <c r="E820" s="4">
        <f>SUM(E821:E831)</f>
        <v>0</v>
      </c>
      <c r="F820" s="31"/>
      <c r="G820" s="4">
        <f>SUM(G821:G831)</f>
        <v>0</v>
      </c>
      <c r="H820" s="4"/>
      <c r="I820" s="47"/>
      <c r="J820" s="31"/>
      <c r="K820" s="4">
        <f>SUM(K821:K831)</f>
        <v>0</v>
      </c>
      <c r="L820" s="32"/>
      <c r="M820" s="4">
        <f>SUM(M821:M831)</f>
        <v>0</v>
      </c>
      <c r="N820" s="32"/>
      <c r="O820" s="197">
        <f>SUM(O821:O831)</f>
        <v>0</v>
      </c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1"/>
      <c r="AT820" s="201"/>
      <c r="AU820" s="201"/>
      <c r="AV820" s="201"/>
      <c r="AW820" s="201"/>
      <c r="AX820" s="201"/>
      <c r="AY820" s="201"/>
      <c r="AZ820" s="201"/>
      <c r="BA820" s="201"/>
      <c r="BB820" s="201"/>
      <c r="BC820" s="201"/>
      <c r="BD820" s="201"/>
      <c r="BE820" s="201"/>
      <c r="BF820" s="201"/>
      <c r="BG820" s="201"/>
      <c r="BH820" s="201"/>
      <c r="BI820" s="201"/>
      <c r="BJ820" s="201"/>
      <c r="BK820" s="201"/>
      <c r="BL820" s="201"/>
      <c r="BM820" s="201"/>
      <c r="BN820" s="201"/>
      <c r="BO820" s="201"/>
      <c r="BP820" s="201"/>
      <c r="BQ820" s="201"/>
      <c r="BR820" s="201"/>
      <c r="BS820" s="201"/>
      <c r="BT820" s="201"/>
      <c r="BU820" s="201"/>
      <c r="BV820" s="201"/>
      <c r="BW820" s="201"/>
    </row>
    <row r="821" spans="1:3431" ht="25.5" x14ac:dyDescent="0.2">
      <c r="A821" s="6" t="s">
        <v>102</v>
      </c>
      <c r="B821" s="14" t="s">
        <v>166</v>
      </c>
      <c r="C821" s="6"/>
      <c r="D821" s="31"/>
      <c r="E821" s="31"/>
      <c r="F821" s="31"/>
      <c r="G821" s="31"/>
      <c r="H821" s="31"/>
      <c r="I821" s="41"/>
      <c r="J821" s="31"/>
      <c r="K821" s="31"/>
      <c r="L821" s="31"/>
      <c r="M821" s="31"/>
      <c r="N821" s="31"/>
      <c r="O821" s="192"/>
    </row>
    <row r="822" spans="1:3431" hidden="1" x14ac:dyDescent="0.2">
      <c r="A822" s="6"/>
      <c r="B822" s="103" t="s">
        <v>91</v>
      </c>
      <c r="C822" s="6"/>
      <c r="D822" s="31"/>
      <c r="E822" s="31"/>
      <c r="F822" s="31"/>
      <c r="G822" s="31"/>
      <c r="H822" s="31"/>
      <c r="I822" s="41"/>
      <c r="J822" s="31"/>
      <c r="K822" s="31"/>
      <c r="L822" s="31"/>
      <c r="M822" s="31"/>
      <c r="N822" s="31"/>
      <c r="O822" s="192"/>
    </row>
    <row r="823" spans="1:3431" hidden="1" x14ac:dyDescent="0.2">
      <c r="A823" s="6"/>
      <c r="B823" s="7" t="s">
        <v>92</v>
      </c>
      <c r="C823" s="6"/>
      <c r="D823" s="31"/>
      <c r="E823" s="31"/>
      <c r="F823" s="31"/>
      <c r="G823" s="31"/>
      <c r="H823" s="31"/>
      <c r="I823" s="41"/>
      <c r="J823" s="31"/>
      <c r="K823" s="31"/>
      <c r="L823" s="31"/>
      <c r="M823" s="31"/>
      <c r="N823" s="31"/>
      <c r="O823" s="192"/>
    </row>
    <row r="824" spans="1:3431" x14ac:dyDescent="0.2">
      <c r="A824" s="6"/>
      <c r="B824" s="10" t="s">
        <v>280</v>
      </c>
      <c r="C824" s="6"/>
      <c r="D824" s="31"/>
      <c r="E824" s="31"/>
      <c r="F824" s="31"/>
      <c r="G824" s="31"/>
      <c r="H824" s="31"/>
      <c r="I824" s="41"/>
      <c r="J824" s="31"/>
      <c r="K824" s="31"/>
      <c r="L824" s="31"/>
      <c r="M824" s="31"/>
      <c r="N824" s="31"/>
      <c r="O824" s="192"/>
    </row>
    <row r="825" spans="1:3431" hidden="1" x14ac:dyDescent="0.2">
      <c r="A825" s="6"/>
      <c r="B825" s="7" t="s">
        <v>157</v>
      </c>
      <c r="C825" s="6"/>
      <c r="D825" s="31"/>
      <c r="E825" s="31"/>
      <c r="F825" s="31"/>
      <c r="G825" s="31"/>
      <c r="H825" s="31"/>
      <c r="I825" s="41"/>
      <c r="J825" s="31"/>
      <c r="K825" s="31"/>
      <c r="L825" s="31"/>
      <c r="M825" s="31"/>
      <c r="N825" s="31"/>
      <c r="O825" s="192"/>
    </row>
    <row r="826" spans="1:3431" ht="38.25" hidden="1" x14ac:dyDescent="0.2">
      <c r="A826" s="6" t="s">
        <v>103</v>
      </c>
      <c r="B826" s="16" t="s">
        <v>175</v>
      </c>
      <c r="C826" s="6"/>
      <c r="D826" s="31"/>
      <c r="E826" s="31"/>
      <c r="F826" s="31"/>
      <c r="G826" s="31"/>
      <c r="H826" s="31"/>
      <c r="I826" s="41"/>
      <c r="J826" s="31"/>
      <c r="K826" s="31"/>
      <c r="L826" s="31"/>
      <c r="M826" s="31"/>
      <c r="N826" s="31"/>
      <c r="O826" s="192"/>
    </row>
    <row r="827" spans="1:3431" hidden="1" x14ac:dyDescent="0.2">
      <c r="A827" s="6"/>
      <c r="B827" s="10" t="s">
        <v>91</v>
      </c>
      <c r="C827" s="6"/>
      <c r="D827" s="31"/>
      <c r="E827" s="31"/>
      <c r="F827" s="31"/>
      <c r="G827" s="31"/>
      <c r="H827" s="31"/>
      <c r="I827" s="41"/>
      <c r="J827" s="31"/>
      <c r="K827" s="31"/>
      <c r="L827" s="31"/>
      <c r="M827" s="31"/>
      <c r="N827" s="31"/>
      <c r="O827" s="192"/>
    </row>
    <row r="828" spans="1:3431" hidden="1" x14ac:dyDescent="0.2">
      <c r="A828" s="6"/>
      <c r="B828" s="17" t="s">
        <v>92</v>
      </c>
      <c r="C828" s="6"/>
      <c r="D828" s="31"/>
      <c r="E828" s="31"/>
      <c r="F828" s="31"/>
      <c r="G828" s="31"/>
      <c r="H828" s="31"/>
      <c r="I828" s="41"/>
      <c r="J828" s="31"/>
      <c r="K828" s="31"/>
      <c r="L828" s="31"/>
      <c r="M828" s="31"/>
      <c r="N828" s="31"/>
      <c r="O828" s="192"/>
    </row>
    <row r="829" spans="1:3431" hidden="1" x14ac:dyDescent="0.2">
      <c r="A829" s="6"/>
      <c r="B829" s="10" t="s">
        <v>156</v>
      </c>
      <c r="C829" s="6"/>
      <c r="D829" s="31"/>
      <c r="E829" s="31"/>
      <c r="F829" s="31"/>
      <c r="G829" s="31"/>
      <c r="H829" s="31"/>
      <c r="I829" s="41"/>
      <c r="J829" s="31"/>
      <c r="K829" s="31"/>
      <c r="L829" s="31"/>
      <c r="M829" s="31"/>
      <c r="N829" s="31"/>
      <c r="O829" s="192"/>
    </row>
    <row r="830" spans="1:3431" hidden="1" x14ac:dyDescent="0.2">
      <c r="A830" s="6"/>
      <c r="B830" s="17" t="s">
        <v>157</v>
      </c>
      <c r="C830" s="6"/>
      <c r="D830" s="31"/>
      <c r="E830" s="31"/>
      <c r="F830" s="31"/>
      <c r="G830" s="31"/>
      <c r="H830" s="31"/>
      <c r="I830" s="41"/>
      <c r="J830" s="31"/>
      <c r="K830" s="31"/>
      <c r="L830" s="31"/>
      <c r="M830" s="31"/>
      <c r="N830" s="31"/>
      <c r="O830" s="192"/>
    </row>
    <row r="831" spans="1:3431" ht="38.25" x14ac:dyDescent="0.2">
      <c r="A831" s="21" t="s">
        <v>104</v>
      </c>
      <c r="B831" s="22" t="s">
        <v>168</v>
      </c>
      <c r="C831" s="21"/>
      <c r="D831" s="34"/>
      <c r="E831" s="34"/>
      <c r="F831" s="31"/>
      <c r="G831" s="34"/>
      <c r="H831" s="31"/>
      <c r="I831" s="41"/>
      <c r="J831" s="31"/>
      <c r="K831" s="34"/>
      <c r="L831" s="31"/>
      <c r="M831" s="31"/>
      <c r="N831" s="34"/>
      <c r="O831" s="192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  <c r="AF831" s="134"/>
      <c r="AG831" s="134"/>
      <c r="AH831" s="134"/>
      <c r="AI831" s="134"/>
      <c r="AJ831" s="134"/>
      <c r="AK831" s="134"/>
      <c r="AL831" s="134"/>
      <c r="AM831" s="134"/>
      <c r="AN831" s="134"/>
      <c r="AO831" s="134"/>
      <c r="AP831" s="134"/>
      <c r="AQ831" s="134"/>
      <c r="AR831" s="134"/>
      <c r="AS831" s="134"/>
      <c r="AT831" s="134"/>
      <c r="AU831" s="134"/>
      <c r="AV831" s="134"/>
      <c r="AW831" s="134"/>
      <c r="AX831" s="134"/>
      <c r="AY831" s="134"/>
      <c r="AZ831" s="134"/>
      <c r="BA831" s="134"/>
      <c r="BB831" s="134"/>
      <c r="BC831" s="134"/>
      <c r="BD831" s="134"/>
      <c r="BE831" s="134"/>
      <c r="BF831" s="134"/>
      <c r="BG831" s="134"/>
      <c r="BH831" s="134"/>
      <c r="BI831" s="134"/>
      <c r="BJ831" s="134"/>
      <c r="BK831" s="134"/>
      <c r="BL831" s="134"/>
      <c r="BM831" s="134"/>
      <c r="BN831" s="134"/>
      <c r="BO831" s="134"/>
      <c r="BP831" s="134"/>
      <c r="BQ831" s="134"/>
      <c r="BR831" s="134"/>
      <c r="BS831" s="134"/>
      <c r="BT831" s="134"/>
      <c r="BU831" s="134"/>
      <c r="BV831" s="134"/>
      <c r="BW831" s="134"/>
      <c r="BX831" s="134"/>
      <c r="BY831" s="134"/>
      <c r="BZ831" s="134"/>
      <c r="CA831" s="134"/>
      <c r="CB831" s="134"/>
      <c r="CC831" s="134"/>
      <c r="CD831" s="134"/>
      <c r="CE831" s="134"/>
      <c r="CF831" s="134"/>
      <c r="CG831" s="134"/>
      <c r="CH831" s="134"/>
      <c r="CI831" s="134"/>
      <c r="CJ831" s="134"/>
      <c r="CK831" s="134"/>
      <c r="CL831" s="134"/>
      <c r="CM831" s="134"/>
      <c r="CN831" s="134"/>
      <c r="CO831" s="134"/>
      <c r="CP831" s="134"/>
      <c r="CQ831" s="134"/>
      <c r="CR831" s="134"/>
      <c r="CS831" s="134"/>
      <c r="CT831" s="134"/>
      <c r="CU831" s="134"/>
      <c r="CV831" s="134"/>
      <c r="CW831" s="134"/>
      <c r="CX831" s="134"/>
      <c r="CY831" s="134"/>
      <c r="CZ831" s="134"/>
      <c r="DA831" s="134"/>
      <c r="DB831" s="134"/>
      <c r="DC831" s="134"/>
      <c r="DD831" s="134"/>
      <c r="DE831" s="134"/>
      <c r="DF831" s="134"/>
      <c r="DG831" s="134"/>
      <c r="DH831" s="134"/>
      <c r="DI831" s="134"/>
      <c r="DJ831" s="134"/>
      <c r="DK831" s="134"/>
      <c r="DL831" s="134"/>
      <c r="DM831" s="134"/>
      <c r="DN831" s="134"/>
      <c r="DO831" s="134"/>
      <c r="DP831" s="134"/>
      <c r="DQ831" s="134"/>
      <c r="DR831" s="134"/>
      <c r="DS831" s="134"/>
      <c r="DT831" s="134"/>
      <c r="DU831" s="134"/>
      <c r="DV831" s="134"/>
      <c r="DW831" s="134"/>
      <c r="DX831" s="134"/>
      <c r="DY831" s="134"/>
      <c r="DZ831" s="134"/>
      <c r="EA831" s="134"/>
      <c r="EB831" s="134"/>
      <c r="EC831" s="134"/>
      <c r="ED831" s="134"/>
      <c r="EE831" s="134"/>
      <c r="EF831" s="134"/>
      <c r="EG831" s="134"/>
      <c r="EH831" s="134"/>
      <c r="EI831" s="134"/>
      <c r="EJ831" s="134"/>
      <c r="EK831" s="134"/>
      <c r="EL831" s="134"/>
      <c r="EM831" s="134"/>
      <c r="EN831" s="134"/>
      <c r="EO831" s="134"/>
      <c r="EP831" s="134"/>
      <c r="EQ831" s="134"/>
      <c r="ER831" s="134"/>
      <c r="ES831" s="134"/>
      <c r="ET831" s="134"/>
      <c r="EU831" s="134"/>
      <c r="EV831" s="134"/>
      <c r="EW831" s="134"/>
      <c r="EX831" s="134"/>
      <c r="EY831" s="134"/>
      <c r="EZ831" s="134"/>
      <c r="FA831" s="134"/>
      <c r="FB831" s="134"/>
      <c r="FC831" s="134"/>
      <c r="FD831" s="134"/>
      <c r="FE831" s="134"/>
      <c r="FF831" s="134"/>
      <c r="FG831" s="134"/>
      <c r="FH831" s="134"/>
      <c r="FI831" s="134"/>
      <c r="FJ831" s="134"/>
      <c r="FK831" s="134"/>
      <c r="FL831" s="134"/>
      <c r="FM831" s="134"/>
      <c r="FN831" s="134"/>
      <c r="FO831" s="134"/>
      <c r="FP831" s="134"/>
      <c r="FQ831" s="134"/>
      <c r="FR831" s="134"/>
      <c r="FS831" s="134"/>
      <c r="FT831" s="134"/>
      <c r="FU831" s="134"/>
      <c r="FV831" s="134"/>
      <c r="FW831" s="134"/>
      <c r="FX831" s="134"/>
      <c r="FY831" s="134"/>
      <c r="FZ831" s="134"/>
      <c r="GA831" s="134"/>
      <c r="GB831" s="134"/>
      <c r="GC831" s="134"/>
      <c r="GD831" s="134"/>
      <c r="GE831" s="134"/>
      <c r="GF831" s="134"/>
      <c r="GG831" s="134"/>
      <c r="GH831" s="134"/>
      <c r="GI831" s="134"/>
      <c r="GJ831" s="134"/>
      <c r="GK831" s="134"/>
      <c r="GL831" s="134"/>
      <c r="GM831" s="134"/>
      <c r="GN831" s="134"/>
      <c r="GO831" s="134"/>
      <c r="GP831" s="134"/>
      <c r="GQ831" s="134"/>
      <c r="GR831" s="134"/>
      <c r="GS831" s="134"/>
      <c r="GT831" s="134"/>
      <c r="GU831" s="134"/>
      <c r="GV831" s="134"/>
      <c r="GW831" s="134"/>
      <c r="GX831" s="134"/>
      <c r="GY831" s="134"/>
      <c r="GZ831" s="134"/>
      <c r="HA831" s="134"/>
      <c r="HB831" s="134"/>
      <c r="HC831" s="134"/>
      <c r="HD831" s="134"/>
      <c r="HE831" s="134"/>
      <c r="HF831" s="134"/>
      <c r="HG831" s="134"/>
      <c r="HH831" s="134"/>
      <c r="HI831" s="134"/>
      <c r="HJ831" s="134"/>
      <c r="HK831" s="134"/>
      <c r="HL831" s="134"/>
      <c r="HM831" s="134"/>
      <c r="HN831" s="134"/>
      <c r="HO831" s="134"/>
      <c r="HP831" s="134"/>
      <c r="HQ831" s="134"/>
      <c r="HR831" s="134"/>
      <c r="HS831" s="134"/>
      <c r="HT831" s="134"/>
      <c r="HU831" s="134"/>
      <c r="HV831" s="134"/>
      <c r="HW831" s="134"/>
      <c r="HX831" s="134"/>
      <c r="HY831" s="134"/>
      <c r="HZ831" s="134"/>
      <c r="IA831" s="134"/>
      <c r="IB831" s="134"/>
      <c r="IC831" s="134"/>
      <c r="ID831" s="134"/>
      <c r="IE831" s="134"/>
      <c r="IF831" s="134"/>
      <c r="IG831" s="134"/>
      <c r="IH831" s="134"/>
      <c r="II831" s="134"/>
      <c r="IJ831" s="134"/>
      <c r="IK831" s="134"/>
      <c r="IL831" s="134"/>
      <c r="IM831" s="134"/>
      <c r="IN831" s="134"/>
      <c r="IO831" s="134"/>
      <c r="IP831" s="134"/>
      <c r="IQ831" s="134"/>
      <c r="IR831" s="134"/>
      <c r="IS831" s="134"/>
      <c r="IT831" s="134"/>
      <c r="IU831" s="134"/>
      <c r="IV831" s="134"/>
      <c r="IW831" s="134"/>
      <c r="IX831" s="134"/>
      <c r="IY831" s="134"/>
      <c r="IZ831" s="134"/>
      <c r="JA831" s="134"/>
      <c r="JB831" s="134"/>
      <c r="JC831" s="134"/>
      <c r="JD831" s="134"/>
      <c r="JE831" s="134"/>
      <c r="JF831" s="134"/>
      <c r="JG831" s="134"/>
      <c r="JH831" s="134"/>
      <c r="JI831" s="134"/>
      <c r="JJ831" s="134"/>
      <c r="JK831" s="134"/>
      <c r="JL831" s="134"/>
      <c r="JM831" s="134"/>
      <c r="JN831" s="134"/>
      <c r="JO831" s="134"/>
      <c r="JP831" s="134"/>
      <c r="JQ831" s="134"/>
      <c r="JR831" s="134"/>
      <c r="JS831" s="134"/>
      <c r="JT831" s="134"/>
      <c r="JU831" s="134"/>
      <c r="JV831" s="134"/>
      <c r="JW831" s="134"/>
      <c r="JX831" s="134"/>
      <c r="JY831" s="134"/>
      <c r="JZ831" s="134"/>
      <c r="KA831" s="134"/>
      <c r="KB831" s="134"/>
      <c r="KC831" s="134"/>
      <c r="KD831" s="134"/>
      <c r="KE831" s="134"/>
      <c r="KF831" s="134"/>
      <c r="KG831" s="134"/>
      <c r="KH831" s="134"/>
      <c r="KI831" s="134"/>
      <c r="KJ831" s="134"/>
      <c r="KK831" s="134"/>
      <c r="KL831" s="134"/>
      <c r="KM831" s="134"/>
      <c r="KN831" s="134"/>
      <c r="KO831" s="134"/>
      <c r="KP831" s="134"/>
      <c r="KQ831" s="134"/>
      <c r="KR831" s="134"/>
      <c r="KS831" s="134"/>
      <c r="KT831" s="134"/>
      <c r="KU831" s="134"/>
      <c r="KV831" s="134"/>
      <c r="KW831" s="134"/>
      <c r="KX831" s="134"/>
      <c r="KY831" s="134"/>
      <c r="KZ831" s="134"/>
      <c r="LA831" s="134"/>
      <c r="LB831" s="134"/>
      <c r="LC831" s="134"/>
      <c r="LD831" s="134"/>
      <c r="LE831" s="134"/>
      <c r="LF831" s="134"/>
      <c r="LG831" s="134"/>
      <c r="LH831" s="134"/>
      <c r="LI831" s="134"/>
      <c r="LJ831" s="134"/>
      <c r="LK831" s="134"/>
      <c r="LL831" s="134"/>
      <c r="LM831" s="134"/>
      <c r="LN831" s="134"/>
      <c r="LO831" s="134"/>
      <c r="LP831" s="134"/>
      <c r="LQ831" s="134"/>
      <c r="LR831" s="134"/>
      <c r="LS831" s="134"/>
      <c r="LT831" s="134"/>
      <c r="LU831" s="134"/>
      <c r="LV831" s="134"/>
      <c r="LW831" s="134"/>
      <c r="LX831" s="134"/>
      <c r="LY831" s="134"/>
      <c r="LZ831" s="134"/>
      <c r="MA831" s="134"/>
      <c r="MB831" s="134"/>
      <c r="MC831" s="134"/>
      <c r="MD831" s="134"/>
      <c r="ME831" s="134"/>
      <c r="MF831" s="134"/>
      <c r="MG831" s="134"/>
      <c r="MH831" s="134"/>
      <c r="MI831" s="134"/>
      <c r="MJ831" s="134"/>
      <c r="MK831" s="134"/>
      <c r="ML831" s="134"/>
      <c r="MM831" s="134"/>
      <c r="MN831" s="134"/>
      <c r="MO831" s="134"/>
      <c r="MP831" s="134"/>
      <c r="MQ831" s="134"/>
      <c r="MR831" s="134"/>
      <c r="MS831" s="134"/>
      <c r="MT831" s="134"/>
      <c r="MU831" s="134"/>
      <c r="MV831" s="134"/>
      <c r="MW831" s="134"/>
      <c r="MX831" s="134"/>
      <c r="MY831" s="134"/>
      <c r="MZ831" s="134"/>
      <c r="NA831" s="134"/>
      <c r="NB831" s="134"/>
      <c r="NC831" s="134"/>
      <c r="ND831" s="134"/>
      <c r="NE831" s="134"/>
      <c r="NF831" s="134"/>
      <c r="NG831" s="134"/>
      <c r="NH831" s="134"/>
      <c r="NI831" s="134"/>
      <c r="NJ831" s="134"/>
      <c r="NK831" s="134"/>
      <c r="NL831" s="134"/>
      <c r="NM831" s="134"/>
      <c r="NN831" s="134"/>
      <c r="NO831" s="134"/>
      <c r="NP831" s="134"/>
      <c r="NQ831" s="134"/>
      <c r="NR831" s="134"/>
      <c r="NS831" s="134"/>
      <c r="NT831" s="134"/>
      <c r="NU831" s="134"/>
      <c r="NV831" s="134"/>
      <c r="NW831" s="134"/>
      <c r="NX831" s="134"/>
      <c r="NY831" s="134"/>
      <c r="NZ831" s="134"/>
      <c r="OA831" s="134"/>
      <c r="OB831" s="134"/>
      <c r="OC831" s="134"/>
      <c r="OD831" s="134"/>
      <c r="OE831" s="134"/>
      <c r="OF831" s="134"/>
      <c r="OG831" s="134"/>
      <c r="OH831" s="134"/>
      <c r="OI831" s="134"/>
      <c r="OJ831" s="134"/>
      <c r="OK831" s="134"/>
      <c r="OL831" s="134"/>
      <c r="OM831" s="134"/>
      <c r="ON831" s="134"/>
      <c r="OO831" s="134"/>
      <c r="OP831" s="134"/>
      <c r="OQ831" s="134"/>
      <c r="OR831" s="134"/>
      <c r="OS831" s="134"/>
      <c r="OT831" s="134"/>
      <c r="OU831" s="134"/>
      <c r="OV831" s="134"/>
      <c r="OW831" s="134"/>
      <c r="OX831" s="134"/>
      <c r="OY831" s="134"/>
      <c r="OZ831" s="134"/>
      <c r="PA831" s="134"/>
      <c r="PB831" s="134"/>
      <c r="PC831" s="134"/>
      <c r="PD831" s="134"/>
      <c r="PE831" s="134"/>
      <c r="PF831" s="134"/>
      <c r="PG831" s="134"/>
      <c r="PH831" s="134"/>
      <c r="PI831" s="134"/>
      <c r="PJ831" s="134"/>
      <c r="PK831" s="134"/>
      <c r="PL831" s="134"/>
      <c r="PM831" s="134"/>
      <c r="PN831" s="134"/>
      <c r="PO831" s="134"/>
      <c r="PP831" s="134"/>
      <c r="PQ831" s="134"/>
      <c r="PR831" s="134"/>
      <c r="PS831" s="134"/>
      <c r="PT831" s="134"/>
      <c r="PU831" s="134"/>
      <c r="PV831" s="134"/>
      <c r="PW831" s="134"/>
      <c r="PX831" s="134"/>
      <c r="PY831" s="134"/>
      <c r="PZ831" s="134"/>
      <c r="QA831" s="134"/>
      <c r="QB831" s="134"/>
      <c r="QC831" s="134"/>
      <c r="QD831" s="134"/>
      <c r="QE831" s="134"/>
      <c r="QF831" s="134"/>
      <c r="QG831" s="134"/>
      <c r="QH831" s="134"/>
      <c r="QI831" s="134"/>
      <c r="QJ831" s="134"/>
      <c r="QK831" s="134"/>
      <c r="QL831" s="134"/>
      <c r="QM831" s="134"/>
      <c r="QN831" s="134"/>
      <c r="QO831" s="134"/>
      <c r="QP831" s="134"/>
      <c r="QQ831" s="134"/>
      <c r="QR831" s="134"/>
      <c r="QS831" s="134"/>
      <c r="QT831" s="134"/>
      <c r="QU831" s="134"/>
      <c r="QV831" s="134"/>
      <c r="QW831" s="134"/>
      <c r="QX831" s="134"/>
      <c r="QY831" s="134"/>
      <c r="QZ831" s="134"/>
      <c r="RA831" s="134"/>
      <c r="RB831" s="134"/>
      <c r="RC831" s="134"/>
      <c r="RD831" s="134"/>
      <c r="RE831" s="134"/>
      <c r="RF831" s="134"/>
      <c r="RG831" s="134"/>
      <c r="RH831" s="134"/>
      <c r="RI831" s="134"/>
      <c r="RJ831" s="134"/>
      <c r="RK831" s="134"/>
      <c r="RL831" s="134"/>
      <c r="RM831" s="134"/>
      <c r="RN831" s="134"/>
      <c r="RO831" s="134"/>
      <c r="RP831" s="134"/>
      <c r="RQ831" s="134"/>
      <c r="RR831" s="134"/>
      <c r="RS831" s="134"/>
      <c r="RT831" s="134"/>
      <c r="RU831" s="134"/>
      <c r="RV831" s="134"/>
      <c r="RW831" s="134"/>
      <c r="RX831" s="134"/>
      <c r="RY831" s="134"/>
      <c r="RZ831" s="134"/>
      <c r="SA831" s="134"/>
      <c r="SB831" s="134"/>
      <c r="SC831" s="134"/>
      <c r="SD831" s="134"/>
      <c r="SE831" s="134"/>
      <c r="SF831" s="134"/>
      <c r="SG831" s="134"/>
      <c r="SH831" s="134"/>
      <c r="SI831" s="134"/>
      <c r="SJ831" s="134"/>
      <c r="SK831" s="134"/>
      <c r="SL831" s="134"/>
      <c r="SM831" s="134"/>
      <c r="SN831" s="134"/>
      <c r="SO831" s="134"/>
      <c r="SP831" s="134"/>
      <c r="SQ831" s="134"/>
      <c r="SR831" s="134"/>
      <c r="SS831" s="134"/>
      <c r="ST831" s="134"/>
      <c r="SU831" s="134"/>
      <c r="SV831" s="134"/>
      <c r="SW831" s="134"/>
      <c r="SX831" s="134"/>
      <c r="SY831" s="134"/>
      <c r="SZ831" s="134"/>
      <c r="TA831" s="134"/>
      <c r="TB831" s="134"/>
      <c r="TC831" s="134"/>
      <c r="TD831" s="134"/>
      <c r="TE831" s="134"/>
      <c r="TF831" s="134"/>
      <c r="TG831" s="134"/>
      <c r="TH831" s="134"/>
      <c r="TI831" s="134"/>
      <c r="TJ831" s="134"/>
      <c r="TK831" s="134"/>
      <c r="TL831" s="134"/>
      <c r="TM831" s="134"/>
      <c r="TN831" s="134"/>
      <c r="TO831" s="134"/>
      <c r="TP831" s="134"/>
      <c r="TQ831" s="134"/>
      <c r="TR831" s="134"/>
      <c r="TS831" s="134"/>
      <c r="TT831" s="134"/>
      <c r="TU831" s="134"/>
      <c r="TV831" s="134"/>
      <c r="TW831" s="134"/>
      <c r="TX831" s="134"/>
      <c r="TY831" s="134"/>
      <c r="TZ831" s="134"/>
      <c r="UA831" s="134"/>
      <c r="UB831" s="134"/>
      <c r="UC831" s="134"/>
      <c r="UD831" s="134"/>
      <c r="UE831" s="134"/>
      <c r="UF831" s="134"/>
      <c r="UG831" s="134"/>
      <c r="UH831" s="134"/>
      <c r="UI831" s="134"/>
      <c r="UJ831" s="134"/>
      <c r="UK831" s="134"/>
      <c r="UL831" s="134"/>
      <c r="UM831" s="134"/>
      <c r="UN831" s="134"/>
      <c r="UO831" s="134"/>
      <c r="UP831" s="134"/>
      <c r="UQ831" s="134"/>
      <c r="UR831" s="134"/>
      <c r="US831" s="134"/>
      <c r="UT831" s="134"/>
      <c r="UU831" s="134"/>
      <c r="UV831" s="134"/>
      <c r="UW831" s="134"/>
      <c r="UX831" s="134"/>
      <c r="UY831" s="134"/>
      <c r="UZ831" s="134"/>
      <c r="VA831" s="134"/>
      <c r="VB831" s="134"/>
      <c r="VC831" s="134"/>
      <c r="VD831" s="134"/>
      <c r="VE831" s="134"/>
      <c r="VF831" s="134"/>
      <c r="VG831" s="134"/>
      <c r="VH831" s="134"/>
      <c r="VI831" s="134"/>
      <c r="VJ831" s="134"/>
      <c r="VK831" s="134"/>
      <c r="VL831" s="134"/>
      <c r="VM831" s="134"/>
      <c r="VN831" s="134"/>
      <c r="VO831" s="134"/>
      <c r="VP831" s="134"/>
      <c r="VQ831" s="134"/>
      <c r="VR831" s="134"/>
      <c r="VS831" s="134"/>
      <c r="VT831" s="134"/>
      <c r="VU831" s="134"/>
      <c r="VV831" s="134"/>
      <c r="VW831" s="134"/>
      <c r="VX831" s="134"/>
      <c r="VY831" s="134"/>
      <c r="VZ831" s="134"/>
      <c r="WA831" s="134"/>
      <c r="WB831" s="134"/>
      <c r="WC831" s="134"/>
      <c r="WD831" s="134"/>
      <c r="WE831" s="134"/>
      <c r="WF831" s="134"/>
      <c r="WG831" s="134"/>
      <c r="WH831" s="134"/>
      <c r="WI831" s="134"/>
      <c r="WJ831" s="134"/>
      <c r="WK831" s="134"/>
      <c r="WL831" s="134"/>
      <c r="WM831" s="134"/>
      <c r="WN831" s="134"/>
      <c r="WO831" s="134"/>
      <c r="WP831" s="134"/>
      <c r="WQ831" s="134"/>
      <c r="WR831" s="134"/>
      <c r="WS831" s="134"/>
      <c r="WT831" s="134"/>
      <c r="WU831" s="134"/>
      <c r="WV831" s="134"/>
      <c r="WW831" s="134"/>
      <c r="WX831" s="134"/>
      <c r="WY831" s="134"/>
      <c r="WZ831" s="134"/>
      <c r="XA831" s="134"/>
      <c r="XB831" s="134"/>
      <c r="XC831" s="134"/>
      <c r="XD831" s="134"/>
      <c r="XE831" s="134"/>
      <c r="XF831" s="134"/>
      <c r="XG831" s="134"/>
      <c r="XH831" s="134"/>
      <c r="XI831" s="134"/>
      <c r="XJ831" s="134"/>
      <c r="XK831" s="134"/>
      <c r="XL831" s="134"/>
      <c r="XM831" s="134"/>
      <c r="XN831" s="134"/>
      <c r="XO831" s="134"/>
      <c r="XP831" s="134"/>
      <c r="XQ831" s="134"/>
      <c r="XR831" s="134"/>
      <c r="XS831" s="134"/>
      <c r="XT831" s="134"/>
      <c r="XU831" s="134"/>
      <c r="XV831" s="134"/>
      <c r="XW831" s="134"/>
      <c r="XX831" s="134"/>
      <c r="XY831" s="134"/>
      <c r="XZ831" s="134"/>
      <c r="YA831" s="134"/>
      <c r="YB831" s="134"/>
      <c r="YC831" s="134"/>
      <c r="YD831" s="134"/>
      <c r="YE831" s="134"/>
      <c r="YF831" s="134"/>
      <c r="YG831" s="134"/>
      <c r="YH831" s="134"/>
      <c r="YI831" s="134"/>
      <c r="YJ831" s="134"/>
      <c r="YK831" s="134"/>
      <c r="YL831" s="134"/>
      <c r="YM831" s="134"/>
      <c r="YN831" s="134"/>
      <c r="YO831" s="134"/>
      <c r="YP831" s="134"/>
      <c r="YQ831" s="134"/>
      <c r="YR831" s="134"/>
      <c r="YS831" s="134"/>
      <c r="YT831" s="134"/>
      <c r="YU831" s="134"/>
      <c r="YV831" s="134"/>
      <c r="YW831" s="134"/>
      <c r="YX831" s="134"/>
      <c r="YY831" s="134"/>
      <c r="YZ831" s="134"/>
      <c r="ZA831" s="134"/>
      <c r="ZB831" s="134"/>
      <c r="ZC831" s="134"/>
      <c r="ZD831" s="134"/>
      <c r="ZE831" s="134"/>
      <c r="ZF831" s="134"/>
      <c r="ZG831" s="134"/>
      <c r="ZH831" s="134"/>
      <c r="ZI831" s="134"/>
      <c r="ZJ831" s="134"/>
      <c r="ZK831" s="134"/>
      <c r="ZL831" s="134"/>
      <c r="ZM831" s="134"/>
      <c r="ZN831" s="134"/>
      <c r="ZO831" s="134"/>
      <c r="ZP831" s="134"/>
      <c r="ZQ831" s="134"/>
      <c r="ZR831" s="134"/>
      <c r="ZS831" s="134"/>
      <c r="ZT831" s="134"/>
      <c r="ZU831" s="134"/>
      <c r="ZV831" s="134"/>
      <c r="ZW831" s="134"/>
      <c r="ZX831" s="134"/>
      <c r="ZY831" s="134"/>
      <c r="ZZ831" s="134"/>
      <c r="AAA831" s="134"/>
      <c r="AAB831" s="134"/>
      <c r="AAC831" s="134"/>
      <c r="AAD831" s="134"/>
      <c r="AAE831" s="134"/>
      <c r="AAF831" s="134"/>
      <c r="AAG831" s="134"/>
      <c r="AAH831" s="134"/>
      <c r="AAI831" s="134"/>
      <c r="AAJ831" s="134"/>
      <c r="AAK831" s="134"/>
      <c r="AAL831" s="134"/>
      <c r="AAM831" s="134"/>
      <c r="AAN831" s="134"/>
      <c r="AAO831" s="134"/>
      <c r="AAP831" s="134"/>
      <c r="AAQ831" s="134"/>
      <c r="AAR831" s="134"/>
      <c r="AAS831" s="134"/>
      <c r="AAT831" s="134"/>
      <c r="AAU831" s="134"/>
      <c r="AAV831" s="134"/>
      <c r="AAW831" s="134"/>
      <c r="AAX831" s="134"/>
      <c r="AAY831" s="134"/>
      <c r="AAZ831" s="134"/>
      <c r="ABA831" s="134"/>
      <c r="ABB831" s="134"/>
      <c r="ABC831" s="134"/>
      <c r="ABD831" s="134"/>
      <c r="ABE831" s="134"/>
      <c r="ABF831" s="134"/>
      <c r="ABG831" s="134"/>
      <c r="ABH831" s="134"/>
      <c r="ABI831" s="134"/>
      <c r="ABJ831" s="134"/>
      <c r="ABK831" s="134"/>
      <c r="ABL831" s="134"/>
      <c r="ABM831" s="134"/>
      <c r="ABN831" s="134"/>
      <c r="ABO831" s="134"/>
      <c r="ABP831" s="134"/>
      <c r="ABQ831" s="134"/>
      <c r="ABR831" s="134"/>
      <c r="ABS831" s="134"/>
      <c r="ABT831" s="134"/>
      <c r="ABU831" s="134"/>
      <c r="ABV831" s="134"/>
      <c r="ABW831" s="134"/>
      <c r="ABX831" s="134"/>
      <c r="ABY831" s="134"/>
      <c r="ABZ831" s="134"/>
      <c r="ACA831" s="134"/>
      <c r="ACB831" s="134"/>
      <c r="ACC831" s="134"/>
      <c r="ACD831" s="134"/>
      <c r="ACE831" s="134"/>
      <c r="ACF831" s="134"/>
      <c r="ACG831" s="134"/>
      <c r="ACH831" s="134"/>
      <c r="ACI831" s="134"/>
      <c r="ACJ831" s="134"/>
      <c r="ACK831" s="134"/>
      <c r="ACL831" s="134"/>
      <c r="ACM831" s="134"/>
      <c r="ACN831" s="134"/>
      <c r="ACO831" s="134"/>
      <c r="ACP831" s="134"/>
      <c r="ACQ831" s="134"/>
      <c r="ACR831" s="134"/>
      <c r="ACS831" s="134"/>
      <c r="ACT831" s="134"/>
      <c r="ACU831" s="134"/>
      <c r="ACV831" s="134"/>
      <c r="ACW831" s="134"/>
      <c r="ACX831" s="134"/>
      <c r="ACY831" s="134"/>
      <c r="ACZ831" s="134"/>
      <c r="ADA831" s="134"/>
      <c r="ADB831" s="134"/>
      <c r="ADC831" s="134"/>
      <c r="ADD831" s="134"/>
      <c r="ADE831" s="134"/>
      <c r="ADF831" s="134"/>
      <c r="ADG831" s="134"/>
      <c r="ADH831" s="134"/>
      <c r="ADI831" s="134"/>
      <c r="ADJ831" s="134"/>
      <c r="ADK831" s="134"/>
      <c r="ADL831" s="134"/>
      <c r="ADM831" s="134"/>
      <c r="ADN831" s="134"/>
      <c r="ADO831" s="134"/>
      <c r="ADP831" s="134"/>
      <c r="ADQ831" s="134"/>
      <c r="ADR831" s="134"/>
      <c r="ADS831" s="134"/>
      <c r="ADT831" s="134"/>
      <c r="ADU831" s="134"/>
      <c r="ADV831" s="134"/>
      <c r="ADW831" s="134"/>
      <c r="ADX831" s="134"/>
      <c r="ADY831" s="134"/>
      <c r="ADZ831" s="134"/>
      <c r="AEA831" s="134"/>
      <c r="AEB831" s="134"/>
      <c r="AEC831" s="134"/>
      <c r="AED831" s="134"/>
      <c r="AEE831" s="134"/>
      <c r="AEF831" s="134"/>
      <c r="AEG831" s="134"/>
      <c r="AEH831" s="134"/>
      <c r="AEI831" s="134"/>
      <c r="AEJ831" s="134"/>
      <c r="AEK831" s="134"/>
      <c r="AEL831" s="134"/>
      <c r="AEM831" s="134"/>
      <c r="AEN831" s="134"/>
      <c r="AEO831" s="134"/>
      <c r="AEP831" s="134"/>
      <c r="AEQ831" s="134"/>
      <c r="AER831" s="134"/>
      <c r="AES831" s="134"/>
      <c r="AET831" s="134"/>
      <c r="AEU831" s="134"/>
      <c r="AEV831" s="134"/>
      <c r="AEW831" s="134"/>
      <c r="AEX831" s="134"/>
      <c r="AEY831" s="134"/>
      <c r="AEZ831" s="134"/>
      <c r="AFA831" s="134"/>
      <c r="AFB831" s="134"/>
      <c r="AFC831" s="134"/>
      <c r="AFD831" s="134"/>
      <c r="AFE831" s="134"/>
      <c r="AFF831" s="134"/>
      <c r="AFG831" s="134"/>
      <c r="AFH831" s="134"/>
      <c r="AFI831" s="134"/>
      <c r="AFJ831" s="134"/>
      <c r="AFK831" s="134"/>
      <c r="AFL831" s="134"/>
      <c r="AFM831" s="134"/>
      <c r="AFN831" s="134"/>
      <c r="AFO831" s="134"/>
      <c r="AFP831" s="134"/>
      <c r="AFQ831" s="134"/>
      <c r="AFR831" s="134"/>
      <c r="AFS831" s="134"/>
      <c r="AFT831" s="134"/>
      <c r="AFU831" s="134"/>
      <c r="AFV831" s="134"/>
      <c r="AFW831" s="134"/>
      <c r="AFX831" s="134"/>
      <c r="AFY831" s="134"/>
      <c r="AFZ831" s="134"/>
      <c r="AGA831" s="134"/>
      <c r="AGB831" s="134"/>
      <c r="AGC831" s="134"/>
      <c r="AGD831" s="134"/>
      <c r="AGE831" s="134"/>
      <c r="AGF831" s="134"/>
      <c r="AGG831" s="134"/>
      <c r="AGH831" s="134"/>
      <c r="AGI831" s="134"/>
      <c r="AGJ831" s="134"/>
      <c r="AGK831" s="134"/>
      <c r="AGL831" s="134"/>
      <c r="AGM831" s="134"/>
      <c r="AGN831" s="134"/>
      <c r="AGO831" s="134"/>
      <c r="AGP831" s="134"/>
      <c r="AGQ831" s="134"/>
      <c r="AGR831" s="134"/>
      <c r="AGS831" s="134"/>
      <c r="AGT831" s="134"/>
      <c r="AGU831" s="134"/>
      <c r="AGV831" s="134"/>
      <c r="AGW831" s="134"/>
      <c r="AGX831" s="134"/>
      <c r="AGY831" s="134"/>
      <c r="AGZ831" s="134"/>
      <c r="AHA831" s="134"/>
      <c r="AHB831" s="134"/>
      <c r="AHC831" s="134"/>
      <c r="AHD831" s="134"/>
      <c r="AHE831" s="134"/>
      <c r="AHF831" s="134"/>
      <c r="AHG831" s="134"/>
      <c r="AHH831" s="134"/>
      <c r="AHI831" s="134"/>
      <c r="AHJ831" s="134"/>
      <c r="AHK831" s="134"/>
      <c r="AHL831" s="134"/>
      <c r="AHM831" s="134"/>
      <c r="AHN831" s="134"/>
      <c r="AHO831" s="134"/>
      <c r="AHP831" s="134"/>
      <c r="AHQ831" s="134"/>
      <c r="AHR831" s="134"/>
      <c r="AHS831" s="134"/>
      <c r="AHT831" s="134"/>
      <c r="AHU831" s="134"/>
      <c r="AHV831" s="134"/>
      <c r="AHW831" s="134"/>
      <c r="AHX831" s="134"/>
      <c r="AHY831" s="134"/>
      <c r="AHZ831" s="134"/>
      <c r="AIA831" s="134"/>
      <c r="AIB831" s="134"/>
      <c r="AIC831" s="134"/>
      <c r="AID831" s="134"/>
      <c r="AIE831" s="134"/>
      <c r="AIF831" s="134"/>
      <c r="AIG831" s="134"/>
      <c r="AIH831" s="134"/>
      <c r="AII831" s="134"/>
      <c r="AIJ831" s="134"/>
      <c r="AIK831" s="134"/>
      <c r="AIL831" s="134"/>
      <c r="AIM831" s="134"/>
      <c r="AIN831" s="134"/>
      <c r="AIO831" s="134"/>
      <c r="AIP831" s="134"/>
      <c r="AIQ831" s="134"/>
      <c r="AIR831" s="134"/>
      <c r="AIS831" s="134"/>
      <c r="AIT831" s="134"/>
      <c r="AIU831" s="134"/>
      <c r="AIV831" s="134"/>
      <c r="AIW831" s="134"/>
      <c r="AIX831" s="134"/>
      <c r="AIY831" s="134"/>
      <c r="AIZ831" s="134"/>
      <c r="AJA831" s="134"/>
      <c r="AJB831" s="134"/>
      <c r="AJC831" s="134"/>
      <c r="AJD831" s="134"/>
      <c r="AJE831" s="134"/>
      <c r="AJF831" s="134"/>
      <c r="AJG831" s="134"/>
      <c r="AJH831" s="134"/>
      <c r="AJI831" s="134"/>
      <c r="AJJ831" s="134"/>
      <c r="AJK831" s="134"/>
      <c r="AJL831" s="134"/>
      <c r="AJM831" s="134"/>
      <c r="AJN831" s="134"/>
      <c r="AJO831" s="134"/>
      <c r="AJP831" s="134"/>
      <c r="AJQ831" s="134"/>
      <c r="AJR831" s="134"/>
      <c r="AJS831" s="134"/>
      <c r="AJT831" s="134"/>
      <c r="AJU831" s="134"/>
      <c r="AJV831" s="134"/>
      <c r="AJW831" s="134"/>
      <c r="AJX831" s="134"/>
      <c r="AJY831" s="134"/>
      <c r="AJZ831" s="134"/>
      <c r="AKA831" s="134"/>
      <c r="AKB831" s="134"/>
      <c r="AKC831" s="134"/>
      <c r="AKD831" s="134"/>
      <c r="AKE831" s="134"/>
      <c r="AKF831" s="134"/>
      <c r="AKG831" s="134"/>
      <c r="AKH831" s="134"/>
      <c r="AKI831" s="134"/>
      <c r="AKJ831" s="134"/>
      <c r="AKK831" s="134"/>
      <c r="AKL831" s="134"/>
      <c r="AKM831" s="134"/>
      <c r="AKN831" s="134"/>
      <c r="AKO831" s="134"/>
      <c r="AKP831" s="134"/>
      <c r="AKQ831" s="134"/>
      <c r="AKR831" s="134"/>
      <c r="AKS831" s="134"/>
      <c r="AKT831" s="134"/>
      <c r="AKU831" s="134"/>
      <c r="AKV831" s="134"/>
      <c r="AKW831" s="134"/>
      <c r="AKX831" s="134"/>
      <c r="AKY831" s="134"/>
      <c r="AKZ831" s="134"/>
      <c r="ALA831" s="134"/>
      <c r="ALB831" s="134"/>
      <c r="ALC831" s="134"/>
      <c r="ALD831" s="134"/>
      <c r="ALE831" s="134"/>
      <c r="ALF831" s="134"/>
      <c r="ALG831" s="134"/>
      <c r="ALH831" s="134"/>
      <c r="ALI831" s="134"/>
      <c r="ALJ831" s="134"/>
      <c r="ALK831" s="134"/>
      <c r="ALL831" s="134"/>
      <c r="ALM831" s="134"/>
      <c r="ALN831" s="134"/>
      <c r="ALO831" s="134"/>
      <c r="ALP831" s="134"/>
      <c r="ALQ831" s="134"/>
      <c r="ALR831" s="134"/>
      <c r="ALS831" s="134"/>
      <c r="ALT831" s="134"/>
      <c r="ALU831" s="134"/>
      <c r="ALV831" s="134"/>
      <c r="ALW831" s="134"/>
      <c r="ALX831" s="134"/>
      <c r="ALY831" s="134"/>
      <c r="ALZ831" s="134"/>
      <c r="AMA831" s="134"/>
      <c r="AMB831" s="134"/>
      <c r="AMC831" s="134"/>
      <c r="AMD831" s="134"/>
      <c r="AME831" s="134"/>
      <c r="AMF831" s="134"/>
      <c r="AMG831" s="134"/>
      <c r="AMH831" s="134"/>
      <c r="AMI831" s="134"/>
      <c r="AMJ831" s="134"/>
      <c r="AMK831" s="134"/>
      <c r="AML831" s="134"/>
      <c r="AMM831" s="134"/>
      <c r="AMN831" s="134"/>
      <c r="AMO831" s="134"/>
      <c r="AMP831" s="134"/>
      <c r="AMQ831" s="134"/>
      <c r="AMR831" s="134"/>
      <c r="AMS831" s="134"/>
      <c r="AMT831" s="134"/>
      <c r="AMU831" s="134"/>
      <c r="AMV831" s="134"/>
      <c r="AMW831" s="134"/>
      <c r="AMX831" s="134"/>
      <c r="AMY831" s="134"/>
      <c r="AMZ831" s="134"/>
      <c r="ANA831" s="134"/>
      <c r="ANB831" s="134"/>
      <c r="ANC831" s="134"/>
      <c r="AND831" s="134"/>
      <c r="ANE831" s="134"/>
      <c r="ANF831" s="134"/>
      <c r="ANG831" s="134"/>
      <c r="ANH831" s="134"/>
      <c r="ANI831" s="134"/>
      <c r="ANJ831" s="134"/>
      <c r="ANK831" s="134"/>
      <c r="ANL831" s="134"/>
      <c r="ANM831" s="134"/>
      <c r="ANN831" s="134"/>
      <c r="ANO831" s="134"/>
      <c r="ANP831" s="134"/>
      <c r="ANQ831" s="134"/>
      <c r="ANR831" s="134"/>
      <c r="ANS831" s="134"/>
      <c r="ANT831" s="134"/>
      <c r="ANU831" s="134"/>
      <c r="ANV831" s="134"/>
      <c r="ANW831" s="134"/>
      <c r="ANX831" s="134"/>
      <c r="ANY831" s="134"/>
      <c r="ANZ831" s="134"/>
      <c r="AOA831" s="134"/>
      <c r="AOB831" s="134"/>
      <c r="AOC831" s="134"/>
      <c r="AOD831" s="134"/>
      <c r="AOE831" s="134"/>
      <c r="AOF831" s="134"/>
      <c r="AOG831" s="134"/>
      <c r="AOH831" s="134"/>
      <c r="AOI831" s="134"/>
      <c r="AOJ831" s="134"/>
      <c r="AOK831" s="134"/>
      <c r="AOL831" s="134"/>
      <c r="AOM831" s="134"/>
      <c r="AON831" s="134"/>
      <c r="AOO831" s="134"/>
      <c r="AOP831" s="134"/>
      <c r="AOQ831" s="134"/>
      <c r="AOR831" s="134"/>
      <c r="AOS831" s="134"/>
      <c r="AOT831" s="134"/>
      <c r="AOU831" s="134"/>
      <c r="AOV831" s="134"/>
      <c r="AOW831" s="134"/>
      <c r="AOX831" s="134"/>
      <c r="AOY831" s="134"/>
      <c r="AOZ831" s="134"/>
      <c r="APA831" s="134"/>
      <c r="APB831" s="134"/>
      <c r="APC831" s="134"/>
      <c r="APD831" s="134"/>
      <c r="APE831" s="134"/>
      <c r="APF831" s="134"/>
      <c r="APG831" s="134"/>
      <c r="APH831" s="134"/>
      <c r="API831" s="134"/>
      <c r="APJ831" s="134"/>
      <c r="APK831" s="134"/>
      <c r="APL831" s="134"/>
      <c r="APM831" s="134"/>
      <c r="APN831" s="134"/>
      <c r="APO831" s="134"/>
      <c r="APP831" s="134"/>
      <c r="APQ831" s="134"/>
      <c r="APR831" s="134"/>
      <c r="APS831" s="134"/>
      <c r="APT831" s="134"/>
      <c r="APU831" s="134"/>
      <c r="APV831" s="134"/>
      <c r="APW831" s="134"/>
      <c r="APX831" s="134"/>
      <c r="APY831" s="134"/>
      <c r="APZ831" s="134"/>
      <c r="AQA831" s="134"/>
      <c r="AQB831" s="134"/>
      <c r="AQC831" s="134"/>
      <c r="AQD831" s="134"/>
      <c r="AQE831" s="134"/>
      <c r="AQF831" s="134"/>
      <c r="AQG831" s="134"/>
      <c r="AQH831" s="134"/>
      <c r="AQI831" s="134"/>
      <c r="AQJ831" s="134"/>
      <c r="AQK831" s="134"/>
      <c r="AQL831" s="134"/>
      <c r="AQM831" s="134"/>
      <c r="AQN831" s="134"/>
      <c r="AQO831" s="134"/>
      <c r="AQP831" s="134"/>
      <c r="AQQ831" s="134"/>
      <c r="AQR831" s="134"/>
      <c r="AQS831" s="134"/>
      <c r="AQT831" s="134"/>
      <c r="AQU831" s="134"/>
      <c r="AQV831" s="134"/>
      <c r="AQW831" s="134"/>
      <c r="AQX831" s="134"/>
      <c r="AQY831" s="134"/>
      <c r="AQZ831" s="134"/>
      <c r="ARA831" s="134"/>
      <c r="ARB831" s="134"/>
      <c r="ARC831" s="134"/>
      <c r="ARD831" s="134"/>
      <c r="ARE831" s="134"/>
      <c r="ARF831" s="134"/>
      <c r="ARG831" s="134"/>
      <c r="ARH831" s="134"/>
      <c r="ARI831" s="134"/>
      <c r="ARJ831" s="134"/>
      <c r="ARK831" s="134"/>
      <c r="ARL831" s="134"/>
      <c r="ARM831" s="134"/>
      <c r="ARN831" s="134"/>
      <c r="ARO831" s="134"/>
      <c r="ARP831" s="134"/>
      <c r="ARQ831" s="134"/>
      <c r="ARR831" s="134"/>
      <c r="ARS831" s="134"/>
      <c r="ART831" s="134"/>
      <c r="ARU831" s="134"/>
      <c r="ARV831" s="134"/>
      <c r="ARW831" s="134"/>
      <c r="ARX831" s="134"/>
      <c r="ARY831" s="134"/>
      <c r="ARZ831" s="134"/>
      <c r="ASA831" s="134"/>
      <c r="ASB831" s="134"/>
      <c r="ASC831" s="134"/>
      <c r="ASD831" s="134"/>
      <c r="ASE831" s="134"/>
      <c r="ASF831" s="134"/>
      <c r="ASG831" s="134"/>
      <c r="ASH831" s="134"/>
      <c r="ASI831" s="134"/>
      <c r="ASJ831" s="134"/>
      <c r="ASK831" s="134"/>
      <c r="ASL831" s="134"/>
      <c r="ASM831" s="134"/>
      <c r="ASN831" s="134"/>
      <c r="ASO831" s="134"/>
      <c r="ASP831" s="134"/>
      <c r="ASQ831" s="134"/>
      <c r="ASR831" s="134"/>
      <c r="ASS831" s="134"/>
      <c r="AST831" s="134"/>
      <c r="ASU831" s="134"/>
      <c r="ASV831" s="134"/>
      <c r="ASW831" s="134"/>
      <c r="ASX831" s="134"/>
      <c r="ASY831" s="134"/>
      <c r="ASZ831" s="134"/>
      <c r="ATA831" s="134"/>
      <c r="ATB831" s="134"/>
      <c r="ATC831" s="134"/>
      <c r="ATD831" s="134"/>
      <c r="ATE831" s="134"/>
      <c r="ATF831" s="134"/>
      <c r="ATG831" s="134"/>
      <c r="ATH831" s="134"/>
      <c r="ATI831" s="134"/>
      <c r="ATJ831" s="134"/>
      <c r="ATK831" s="134"/>
      <c r="ATL831" s="134"/>
      <c r="ATM831" s="134"/>
      <c r="ATN831" s="134"/>
      <c r="ATO831" s="134"/>
      <c r="ATP831" s="134"/>
      <c r="ATQ831" s="134"/>
      <c r="ATR831" s="134"/>
      <c r="ATS831" s="134"/>
      <c r="ATT831" s="134"/>
      <c r="ATU831" s="134"/>
      <c r="ATV831" s="134"/>
      <c r="ATW831" s="134"/>
      <c r="ATX831" s="134"/>
      <c r="ATY831" s="134"/>
      <c r="ATZ831" s="134"/>
      <c r="AUA831" s="134"/>
      <c r="AUB831" s="134"/>
      <c r="AUC831" s="134"/>
      <c r="AUD831" s="134"/>
      <c r="AUE831" s="134"/>
      <c r="AUF831" s="134"/>
      <c r="AUG831" s="134"/>
      <c r="AUH831" s="134"/>
      <c r="AUI831" s="134"/>
      <c r="AUJ831" s="134"/>
      <c r="AUK831" s="134"/>
      <c r="AUL831" s="134"/>
      <c r="AUM831" s="134"/>
      <c r="AUN831" s="134"/>
      <c r="AUO831" s="134"/>
      <c r="AUP831" s="134"/>
      <c r="AUQ831" s="134"/>
      <c r="AUR831" s="134"/>
      <c r="AUS831" s="134"/>
      <c r="AUT831" s="134"/>
      <c r="AUU831" s="134"/>
      <c r="AUV831" s="134"/>
      <c r="AUW831" s="134"/>
      <c r="AUX831" s="134"/>
      <c r="AUY831" s="134"/>
      <c r="AUZ831" s="134"/>
      <c r="AVA831" s="134"/>
      <c r="AVB831" s="134"/>
      <c r="AVC831" s="134"/>
      <c r="AVD831" s="134"/>
      <c r="AVE831" s="134"/>
      <c r="AVF831" s="134"/>
      <c r="AVG831" s="134"/>
      <c r="AVH831" s="134"/>
      <c r="AVI831" s="134"/>
      <c r="AVJ831" s="134"/>
      <c r="AVK831" s="134"/>
      <c r="AVL831" s="134"/>
      <c r="AVM831" s="134"/>
      <c r="AVN831" s="134"/>
      <c r="AVO831" s="134"/>
      <c r="AVP831" s="134"/>
      <c r="AVQ831" s="134"/>
      <c r="AVR831" s="134"/>
      <c r="AVS831" s="134"/>
      <c r="AVT831" s="134"/>
      <c r="AVU831" s="134"/>
      <c r="AVV831" s="134"/>
      <c r="AVW831" s="134"/>
      <c r="AVX831" s="134"/>
      <c r="AVY831" s="134"/>
      <c r="AVZ831" s="134"/>
      <c r="AWA831" s="134"/>
      <c r="AWB831" s="134"/>
      <c r="AWC831" s="134"/>
      <c r="AWD831" s="134"/>
      <c r="AWE831" s="134"/>
      <c r="AWF831" s="134"/>
      <c r="AWG831" s="134"/>
      <c r="AWH831" s="134"/>
      <c r="AWI831" s="134"/>
      <c r="AWJ831" s="134"/>
      <c r="AWK831" s="134"/>
      <c r="AWL831" s="134"/>
      <c r="AWM831" s="134"/>
      <c r="AWN831" s="134"/>
      <c r="AWO831" s="134"/>
      <c r="AWP831" s="134"/>
      <c r="AWQ831" s="134"/>
      <c r="AWR831" s="134"/>
      <c r="AWS831" s="134"/>
      <c r="AWT831" s="134"/>
      <c r="AWU831" s="134"/>
      <c r="AWV831" s="134"/>
      <c r="AWW831" s="134"/>
      <c r="AWX831" s="134"/>
      <c r="AWY831" s="134"/>
      <c r="AWZ831" s="134"/>
      <c r="AXA831" s="134"/>
      <c r="AXB831" s="134"/>
      <c r="AXC831" s="134"/>
      <c r="AXD831" s="134"/>
      <c r="AXE831" s="134"/>
      <c r="AXF831" s="134"/>
      <c r="AXG831" s="134"/>
      <c r="AXH831" s="134"/>
      <c r="AXI831" s="134"/>
      <c r="AXJ831" s="134"/>
      <c r="AXK831" s="134"/>
      <c r="AXL831" s="134"/>
      <c r="AXM831" s="134"/>
      <c r="AXN831" s="134"/>
      <c r="AXO831" s="134"/>
      <c r="AXP831" s="134"/>
      <c r="AXQ831" s="134"/>
      <c r="AXR831" s="134"/>
      <c r="AXS831" s="134"/>
      <c r="AXT831" s="134"/>
      <c r="AXU831" s="134"/>
      <c r="AXV831" s="134"/>
      <c r="AXW831" s="134"/>
      <c r="AXX831" s="134"/>
      <c r="AXY831" s="134"/>
      <c r="AXZ831" s="134"/>
      <c r="AYA831" s="134"/>
      <c r="AYB831" s="134"/>
      <c r="AYC831" s="134"/>
      <c r="AYD831" s="134"/>
      <c r="AYE831" s="134"/>
      <c r="AYF831" s="134"/>
      <c r="AYG831" s="134"/>
      <c r="AYH831" s="134"/>
      <c r="AYI831" s="134"/>
      <c r="AYJ831" s="134"/>
      <c r="AYK831" s="134"/>
      <c r="AYL831" s="134"/>
      <c r="AYM831" s="134"/>
      <c r="AYN831" s="134"/>
      <c r="AYO831" s="134"/>
      <c r="AYP831" s="134"/>
      <c r="AYQ831" s="134"/>
      <c r="AYR831" s="134"/>
      <c r="AYS831" s="134"/>
      <c r="AYT831" s="134"/>
      <c r="AYU831" s="134"/>
      <c r="AYV831" s="134"/>
      <c r="AYW831" s="134"/>
      <c r="AYX831" s="134"/>
      <c r="AYY831" s="134"/>
      <c r="AYZ831" s="134"/>
      <c r="AZA831" s="134"/>
      <c r="AZB831" s="134"/>
      <c r="AZC831" s="134"/>
      <c r="AZD831" s="134"/>
      <c r="AZE831" s="134"/>
      <c r="AZF831" s="134"/>
      <c r="AZG831" s="134"/>
      <c r="AZH831" s="134"/>
      <c r="AZI831" s="134"/>
      <c r="AZJ831" s="134"/>
      <c r="AZK831" s="134"/>
      <c r="AZL831" s="134"/>
      <c r="AZM831" s="134"/>
      <c r="AZN831" s="134"/>
      <c r="AZO831" s="134"/>
      <c r="AZP831" s="134"/>
      <c r="AZQ831" s="134"/>
      <c r="AZR831" s="134"/>
      <c r="AZS831" s="134"/>
      <c r="AZT831" s="134"/>
      <c r="AZU831" s="134"/>
      <c r="AZV831" s="134"/>
      <c r="AZW831" s="134"/>
      <c r="AZX831" s="134"/>
      <c r="AZY831" s="134"/>
      <c r="AZZ831" s="134"/>
      <c r="BAA831" s="134"/>
      <c r="BAB831" s="134"/>
      <c r="BAC831" s="134"/>
      <c r="BAD831" s="134"/>
      <c r="BAE831" s="134"/>
      <c r="BAF831" s="134"/>
      <c r="BAG831" s="134"/>
      <c r="BAH831" s="134"/>
      <c r="BAI831" s="134"/>
      <c r="BAJ831" s="134"/>
      <c r="BAK831" s="134"/>
      <c r="BAL831" s="134"/>
      <c r="BAM831" s="134"/>
      <c r="BAN831" s="134"/>
      <c r="BAO831" s="134"/>
      <c r="BAP831" s="134"/>
      <c r="BAQ831" s="134"/>
      <c r="BAR831" s="134"/>
      <c r="BAS831" s="134"/>
      <c r="BAT831" s="134"/>
      <c r="BAU831" s="134"/>
      <c r="BAV831" s="134"/>
      <c r="BAW831" s="134"/>
      <c r="BAX831" s="134"/>
      <c r="BAY831" s="134"/>
      <c r="BAZ831" s="134"/>
      <c r="BBA831" s="134"/>
      <c r="BBB831" s="134"/>
      <c r="BBC831" s="134"/>
      <c r="BBD831" s="134"/>
      <c r="BBE831" s="134"/>
      <c r="BBF831" s="134"/>
      <c r="BBG831" s="134"/>
      <c r="BBH831" s="134"/>
      <c r="BBI831" s="134"/>
      <c r="BBJ831" s="134"/>
      <c r="BBK831" s="134"/>
      <c r="BBL831" s="134"/>
      <c r="BBM831" s="134"/>
      <c r="BBN831" s="134"/>
      <c r="BBO831" s="134"/>
      <c r="BBP831" s="134"/>
      <c r="BBQ831" s="134"/>
      <c r="BBR831" s="134"/>
      <c r="BBS831" s="134"/>
      <c r="BBT831" s="134"/>
      <c r="BBU831" s="134"/>
      <c r="BBV831" s="134"/>
      <c r="BBW831" s="134"/>
      <c r="BBX831" s="134"/>
      <c r="BBY831" s="134"/>
      <c r="BBZ831" s="134"/>
      <c r="BCA831" s="134"/>
      <c r="BCB831" s="134"/>
      <c r="BCC831" s="134"/>
      <c r="BCD831" s="134"/>
      <c r="BCE831" s="134"/>
      <c r="BCF831" s="134"/>
      <c r="BCG831" s="134"/>
      <c r="BCH831" s="134"/>
      <c r="BCI831" s="134"/>
      <c r="BCJ831" s="134"/>
      <c r="BCK831" s="134"/>
      <c r="BCL831" s="134"/>
      <c r="BCM831" s="134"/>
      <c r="BCN831" s="134"/>
      <c r="BCO831" s="134"/>
      <c r="BCP831" s="134"/>
      <c r="BCQ831" s="134"/>
      <c r="BCR831" s="134"/>
      <c r="BCS831" s="134"/>
      <c r="BCT831" s="134"/>
      <c r="BCU831" s="134"/>
      <c r="BCV831" s="134"/>
      <c r="BCW831" s="134"/>
      <c r="BCX831" s="134"/>
      <c r="BCY831" s="134"/>
      <c r="BCZ831" s="134"/>
      <c r="BDA831" s="134"/>
      <c r="BDB831" s="134"/>
      <c r="BDC831" s="134"/>
      <c r="BDD831" s="134"/>
      <c r="BDE831" s="134"/>
      <c r="BDF831" s="134"/>
      <c r="BDG831" s="134"/>
      <c r="BDH831" s="134"/>
      <c r="BDI831" s="134"/>
      <c r="BDJ831" s="134"/>
      <c r="BDK831" s="134"/>
      <c r="BDL831" s="134"/>
      <c r="BDM831" s="134"/>
      <c r="BDN831" s="134"/>
      <c r="BDO831" s="134"/>
      <c r="BDP831" s="134"/>
      <c r="BDQ831" s="134"/>
      <c r="BDR831" s="134"/>
      <c r="BDS831" s="134"/>
      <c r="BDT831" s="134"/>
      <c r="BDU831" s="134"/>
      <c r="BDV831" s="134"/>
      <c r="BDW831" s="134"/>
      <c r="BDX831" s="134"/>
      <c r="BDY831" s="134"/>
      <c r="BDZ831" s="134"/>
      <c r="BEA831" s="134"/>
      <c r="BEB831" s="134"/>
      <c r="BEC831" s="134"/>
      <c r="BED831" s="134"/>
      <c r="BEE831" s="134"/>
      <c r="BEF831" s="134"/>
      <c r="BEG831" s="134"/>
      <c r="BEH831" s="134"/>
      <c r="BEI831" s="134"/>
      <c r="BEJ831" s="134"/>
      <c r="BEK831" s="134"/>
      <c r="BEL831" s="134"/>
      <c r="BEM831" s="134"/>
      <c r="BEN831" s="134"/>
      <c r="BEO831" s="134"/>
      <c r="BEP831" s="134"/>
      <c r="BEQ831" s="134"/>
      <c r="BER831" s="134"/>
      <c r="BES831" s="134"/>
      <c r="BET831" s="134"/>
      <c r="BEU831" s="134"/>
      <c r="BEV831" s="134"/>
      <c r="BEW831" s="134"/>
      <c r="BEX831" s="134"/>
      <c r="BEY831" s="134"/>
      <c r="BEZ831" s="134"/>
      <c r="BFA831" s="134"/>
      <c r="BFB831" s="134"/>
      <c r="BFC831" s="134"/>
      <c r="BFD831" s="134"/>
      <c r="BFE831" s="134"/>
      <c r="BFF831" s="134"/>
      <c r="BFG831" s="134"/>
      <c r="BFH831" s="134"/>
      <c r="BFI831" s="134"/>
      <c r="BFJ831" s="134"/>
      <c r="BFK831" s="134"/>
      <c r="BFL831" s="134"/>
      <c r="BFM831" s="134"/>
      <c r="BFN831" s="134"/>
      <c r="BFO831" s="134"/>
      <c r="BFP831" s="134"/>
      <c r="BFQ831" s="134"/>
      <c r="BFR831" s="134"/>
      <c r="BFS831" s="134"/>
      <c r="BFT831" s="134"/>
      <c r="BFU831" s="134"/>
      <c r="BFV831" s="134"/>
      <c r="BFW831" s="134"/>
      <c r="BFX831" s="134"/>
      <c r="BFY831" s="134"/>
      <c r="BFZ831" s="134"/>
      <c r="BGA831" s="134"/>
      <c r="BGB831" s="134"/>
      <c r="BGC831" s="134"/>
      <c r="BGD831" s="134"/>
      <c r="BGE831" s="134"/>
      <c r="BGF831" s="134"/>
      <c r="BGG831" s="134"/>
      <c r="BGH831" s="134"/>
      <c r="BGI831" s="134"/>
      <c r="BGJ831" s="134"/>
      <c r="BGK831" s="134"/>
      <c r="BGL831" s="134"/>
      <c r="BGM831" s="134"/>
      <c r="BGN831" s="134"/>
      <c r="BGO831" s="134"/>
      <c r="BGP831" s="134"/>
      <c r="BGQ831" s="134"/>
      <c r="BGR831" s="134"/>
      <c r="BGS831" s="134"/>
      <c r="BGT831" s="134"/>
      <c r="BGU831" s="134"/>
      <c r="BGV831" s="134"/>
      <c r="BGW831" s="134"/>
      <c r="BGX831" s="134"/>
      <c r="BGY831" s="134"/>
      <c r="BGZ831" s="134"/>
      <c r="BHA831" s="134"/>
      <c r="BHB831" s="134"/>
      <c r="BHC831" s="134"/>
      <c r="BHD831" s="134"/>
      <c r="BHE831" s="134"/>
      <c r="BHF831" s="134"/>
      <c r="BHG831" s="134"/>
      <c r="BHH831" s="134"/>
      <c r="BHI831" s="134"/>
      <c r="BHJ831" s="134"/>
      <c r="BHK831" s="134"/>
      <c r="BHL831" s="134"/>
      <c r="BHM831" s="134"/>
      <c r="BHN831" s="134"/>
      <c r="BHO831" s="134"/>
      <c r="BHP831" s="134"/>
      <c r="BHQ831" s="134"/>
      <c r="BHR831" s="134"/>
      <c r="BHS831" s="134"/>
      <c r="BHT831" s="134"/>
      <c r="BHU831" s="134"/>
      <c r="BHV831" s="134"/>
      <c r="BHW831" s="134"/>
      <c r="BHX831" s="134"/>
      <c r="BHY831" s="134"/>
      <c r="BHZ831" s="134"/>
      <c r="BIA831" s="134"/>
      <c r="BIB831" s="134"/>
      <c r="BIC831" s="134"/>
      <c r="BID831" s="134"/>
      <c r="BIE831" s="134"/>
      <c r="BIF831" s="134"/>
      <c r="BIG831" s="134"/>
      <c r="BIH831" s="134"/>
      <c r="BII831" s="134"/>
      <c r="BIJ831" s="134"/>
      <c r="BIK831" s="134"/>
      <c r="BIL831" s="134"/>
      <c r="BIM831" s="134"/>
      <c r="BIN831" s="134"/>
      <c r="BIO831" s="134"/>
      <c r="BIP831" s="134"/>
      <c r="BIQ831" s="134"/>
      <c r="BIR831" s="134"/>
      <c r="BIS831" s="134"/>
      <c r="BIT831" s="134"/>
      <c r="BIU831" s="134"/>
      <c r="BIV831" s="134"/>
      <c r="BIW831" s="134"/>
      <c r="BIX831" s="134"/>
      <c r="BIY831" s="134"/>
      <c r="BIZ831" s="134"/>
      <c r="BJA831" s="134"/>
      <c r="BJB831" s="134"/>
      <c r="BJC831" s="134"/>
      <c r="BJD831" s="134"/>
      <c r="BJE831" s="134"/>
      <c r="BJF831" s="134"/>
      <c r="BJG831" s="134"/>
      <c r="BJH831" s="134"/>
      <c r="BJI831" s="134"/>
      <c r="BJJ831" s="134"/>
      <c r="BJK831" s="134"/>
      <c r="BJL831" s="134"/>
      <c r="BJM831" s="134"/>
      <c r="BJN831" s="134"/>
      <c r="BJO831" s="134"/>
      <c r="BJP831" s="134"/>
      <c r="BJQ831" s="134"/>
      <c r="BJR831" s="134"/>
      <c r="BJS831" s="134"/>
      <c r="BJT831" s="134"/>
      <c r="BJU831" s="134"/>
      <c r="BJV831" s="134"/>
      <c r="BJW831" s="134"/>
      <c r="BJX831" s="134"/>
      <c r="BJY831" s="134"/>
      <c r="BJZ831" s="134"/>
      <c r="BKA831" s="134"/>
      <c r="BKB831" s="134"/>
      <c r="BKC831" s="134"/>
      <c r="BKD831" s="134"/>
      <c r="BKE831" s="134"/>
      <c r="BKF831" s="134"/>
      <c r="BKG831" s="134"/>
      <c r="BKH831" s="134"/>
      <c r="BKI831" s="134"/>
      <c r="BKJ831" s="134"/>
      <c r="BKK831" s="134"/>
      <c r="BKL831" s="134"/>
      <c r="BKM831" s="134"/>
      <c r="BKN831" s="134"/>
      <c r="BKO831" s="134"/>
      <c r="BKP831" s="134"/>
      <c r="BKQ831" s="134"/>
      <c r="BKR831" s="134"/>
      <c r="BKS831" s="134"/>
      <c r="BKT831" s="134"/>
      <c r="BKU831" s="134"/>
      <c r="BKV831" s="134"/>
      <c r="BKW831" s="134"/>
      <c r="BKX831" s="134"/>
      <c r="BKY831" s="134"/>
      <c r="BKZ831" s="134"/>
      <c r="BLA831" s="134"/>
      <c r="BLB831" s="134"/>
      <c r="BLC831" s="134"/>
      <c r="BLD831" s="134"/>
      <c r="BLE831" s="134"/>
      <c r="BLF831" s="134"/>
      <c r="BLG831" s="134"/>
      <c r="BLH831" s="134"/>
      <c r="BLI831" s="134"/>
      <c r="BLJ831" s="134"/>
      <c r="BLK831" s="134"/>
      <c r="BLL831" s="134"/>
      <c r="BLM831" s="134"/>
      <c r="BLN831" s="134"/>
      <c r="BLO831" s="134"/>
      <c r="BLP831" s="134"/>
      <c r="BLQ831" s="134"/>
      <c r="BLR831" s="134"/>
      <c r="BLS831" s="134"/>
      <c r="BLT831" s="134"/>
      <c r="BLU831" s="134"/>
      <c r="BLV831" s="134"/>
      <c r="BLW831" s="134"/>
      <c r="BLX831" s="134"/>
      <c r="BLY831" s="134"/>
      <c r="BLZ831" s="134"/>
      <c r="BMA831" s="134"/>
      <c r="BMB831" s="134"/>
      <c r="BMC831" s="134"/>
      <c r="BMD831" s="134"/>
      <c r="BME831" s="134"/>
      <c r="BMF831" s="134"/>
      <c r="BMG831" s="134"/>
      <c r="BMH831" s="134"/>
      <c r="BMI831" s="134"/>
      <c r="BMJ831" s="134"/>
      <c r="BMK831" s="134"/>
      <c r="BML831" s="134"/>
      <c r="BMM831" s="134"/>
      <c r="BMN831" s="134"/>
      <c r="BMO831" s="134"/>
      <c r="BMP831" s="134"/>
      <c r="BMQ831" s="134"/>
      <c r="BMR831" s="134"/>
      <c r="BMS831" s="134"/>
      <c r="BMT831" s="134"/>
      <c r="BMU831" s="134"/>
      <c r="BMV831" s="134"/>
      <c r="BMW831" s="134"/>
      <c r="BMX831" s="134"/>
      <c r="BMY831" s="134"/>
      <c r="BMZ831" s="134"/>
      <c r="BNA831" s="134"/>
      <c r="BNB831" s="134"/>
      <c r="BNC831" s="134"/>
      <c r="BND831" s="134"/>
      <c r="BNE831" s="134"/>
      <c r="BNF831" s="134"/>
      <c r="BNG831" s="134"/>
      <c r="BNH831" s="134"/>
      <c r="BNI831" s="134"/>
      <c r="BNJ831" s="134"/>
      <c r="BNK831" s="134"/>
      <c r="BNL831" s="134"/>
      <c r="BNM831" s="134"/>
      <c r="BNN831" s="134"/>
      <c r="BNO831" s="134"/>
      <c r="BNP831" s="134"/>
      <c r="BNQ831" s="134"/>
      <c r="BNR831" s="134"/>
      <c r="BNS831" s="134"/>
      <c r="BNT831" s="134"/>
      <c r="BNU831" s="134"/>
      <c r="BNV831" s="134"/>
      <c r="BNW831" s="134"/>
      <c r="BNX831" s="134"/>
      <c r="BNY831" s="134"/>
      <c r="BNZ831" s="134"/>
      <c r="BOA831" s="134"/>
      <c r="BOB831" s="134"/>
      <c r="BOC831" s="134"/>
      <c r="BOD831" s="134"/>
      <c r="BOE831" s="134"/>
      <c r="BOF831" s="134"/>
      <c r="BOG831" s="134"/>
      <c r="BOH831" s="134"/>
      <c r="BOI831" s="134"/>
      <c r="BOJ831" s="134"/>
      <c r="BOK831" s="134"/>
      <c r="BOL831" s="134"/>
      <c r="BOM831" s="134"/>
      <c r="BON831" s="134"/>
      <c r="BOO831" s="134"/>
      <c r="BOP831" s="134"/>
      <c r="BOQ831" s="134"/>
      <c r="BOR831" s="134"/>
      <c r="BOS831" s="134"/>
      <c r="BOT831" s="134"/>
      <c r="BOU831" s="134"/>
      <c r="BOV831" s="134"/>
      <c r="BOW831" s="134"/>
      <c r="BOX831" s="134"/>
      <c r="BOY831" s="134"/>
      <c r="BOZ831" s="134"/>
      <c r="BPA831" s="134"/>
      <c r="BPB831" s="134"/>
      <c r="BPC831" s="134"/>
      <c r="BPD831" s="134"/>
      <c r="BPE831" s="134"/>
      <c r="BPF831" s="134"/>
      <c r="BPG831" s="134"/>
      <c r="BPH831" s="134"/>
      <c r="BPI831" s="134"/>
      <c r="BPJ831" s="134"/>
      <c r="BPK831" s="134"/>
      <c r="BPL831" s="134"/>
      <c r="BPM831" s="134"/>
      <c r="BPN831" s="134"/>
      <c r="BPO831" s="134"/>
      <c r="BPP831" s="134"/>
      <c r="BPQ831" s="134"/>
      <c r="BPR831" s="134"/>
      <c r="BPS831" s="134"/>
      <c r="BPT831" s="134"/>
      <c r="BPU831" s="134"/>
      <c r="BPV831" s="134"/>
      <c r="BPW831" s="134"/>
      <c r="BPX831" s="134"/>
      <c r="BPY831" s="134"/>
      <c r="BPZ831" s="134"/>
      <c r="BQA831" s="134"/>
      <c r="BQB831" s="134"/>
      <c r="BQC831" s="134"/>
      <c r="BQD831" s="134"/>
      <c r="BQE831" s="134"/>
      <c r="BQF831" s="134"/>
      <c r="BQG831" s="134"/>
      <c r="BQH831" s="134"/>
      <c r="BQI831" s="134"/>
      <c r="BQJ831" s="134"/>
      <c r="BQK831" s="134"/>
      <c r="BQL831" s="134"/>
      <c r="BQM831" s="134"/>
      <c r="BQN831" s="134"/>
      <c r="BQO831" s="134"/>
      <c r="BQP831" s="134"/>
      <c r="BQQ831" s="134"/>
      <c r="BQR831" s="134"/>
      <c r="BQS831" s="134"/>
      <c r="BQT831" s="134"/>
      <c r="BQU831" s="134"/>
      <c r="BQV831" s="134"/>
      <c r="BQW831" s="134"/>
      <c r="BQX831" s="134"/>
      <c r="BQY831" s="134"/>
      <c r="BQZ831" s="134"/>
      <c r="BRA831" s="134"/>
      <c r="BRB831" s="134"/>
      <c r="BRC831" s="134"/>
      <c r="BRD831" s="134"/>
      <c r="BRE831" s="134"/>
      <c r="BRF831" s="134"/>
      <c r="BRG831" s="134"/>
      <c r="BRH831" s="134"/>
      <c r="BRI831" s="134"/>
      <c r="BRJ831" s="134"/>
      <c r="BRK831" s="134"/>
      <c r="BRL831" s="134"/>
      <c r="BRM831" s="134"/>
      <c r="BRN831" s="134"/>
      <c r="BRO831" s="134"/>
      <c r="BRP831" s="134"/>
      <c r="BRQ831" s="134"/>
      <c r="BRR831" s="134"/>
      <c r="BRS831" s="134"/>
      <c r="BRT831" s="134"/>
      <c r="BRU831" s="134"/>
      <c r="BRV831" s="134"/>
      <c r="BRW831" s="134"/>
      <c r="BRX831" s="134"/>
      <c r="BRY831" s="134"/>
      <c r="BRZ831" s="134"/>
      <c r="BSA831" s="134"/>
      <c r="BSB831" s="134"/>
      <c r="BSC831" s="134"/>
      <c r="BSD831" s="134"/>
      <c r="BSE831" s="134"/>
      <c r="BSF831" s="134"/>
      <c r="BSG831" s="134"/>
      <c r="BSH831" s="134"/>
      <c r="BSI831" s="134"/>
      <c r="BSJ831" s="134"/>
      <c r="BSK831" s="134"/>
      <c r="BSL831" s="134"/>
      <c r="BSM831" s="134"/>
      <c r="BSN831" s="134"/>
      <c r="BSO831" s="134"/>
      <c r="BSP831" s="134"/>
      <c r="BSQ831" s="134"/>
      <c r="BSR831" s="134"/>
      <c r="BSS831" s="134"/>
      <c r="BST831" s="134"/>
      <c r="BSU831" s="134"/>
      <c r="BSV831" s="134"/>
      <c r="BSW831" s="134"/>
      <c r="BSX831" s="134"/>
      <c r="BSY831" s="134"/>
      <c r="BSZ831" s="134"/>
      <c r="BTA831" s="134"/>
      <c r="BTB831" s="134"/>
      <c r="BTC831" s="134"/>
      <c r="BTD831" s="134"/>
      <c r="BTE831" s="134"/>
      <c r="BTF831" s="134"/>
      <c r="BTG831" s="134"/>
      <c r="BTH831" s="134"/>
      <c r="BTI831" s="134"/>
      <c r="BTJ831" s="134"/>
      <c r="BTK831" s="134"/>
      <c r="BTL831" s="134"/>
      <c r="BTM831" s="134"/>
      <c r="BTN831" s="134"/>
      <c r="BTO831" s="134"/>
      <c r="BTP831" s="134"/>
      <c r="BTQ831" s="134"/>
      <c r="BTR831" s="134"/>
      <c r="BTS831" s="134"/>
      <c r="BTT831" s="134"/>
      <c r="BTU831" s="134"/>
      <c r="BTV831" s="134"/>
      <c r="BTW831" s="134"/>
      <c r="BTX831" s="134"/>
      <c r="BTY831" s="134"/>
      <c r="BTZ831" s="134"/>
      <c r="BUA831" s="134"/>
      <c r="BUB831" s="134"/>
      <c r="BUC831" s="134"/>
      <c r="BUD831" s="134"/>
      <c r="BUE831" s="134"/>
      <c r="BUF831" s="134"/>
      <c r="BUG831" s="134"/>
      <c r="BUH831" s="134"/>
      <c r="BUI831" s="134"/>
      <c r="BUJ831" s="134"/>
      <c r="BUK831" s="134"/>
      <c r="BUL831" s="134"/>
      <c r="BUM831" s="134"/>
      <c r="BUN831" s="134"/>
      <c r="BUO831" s="134"/>
      <c r="BUP831" s="134"/>
      <c r="BUQ831" s="134"/>
      <c r="BUR831" s="134"/>
      <c r="BUS831" s="134"/>
      <c r="BUT831" s="134"/>
      <c r="BUU831" s="134"/>
      <c r="BUV831" s="134"/>
      <c r="BUW831" s="134"/>
      <c r="BUX831" s="134"/>
      <c r="BUY831" s="134"/>
      <c r="BUZ831" s="134"/>
      <c r="BVA831" s="134"/>
      <c r="BVB831" s="134"/>
      <c r="BVC831" s="134"/>
      <c r="BVD831" s="134"/>
      <c r="BVE831" s="134"/>
      <c r="BVF831" s="134"/>
      <c r="BVG831" s="134"/>
      <c r="BVH831" s="134"/>
      <c r="BVI831" s="134"/>
      <c r="BVJ831" s="134"/>
      <c r="BVK831" s="134"/>
      <c r="BVL831" s="134"/>
      <c r="BVM831" s="134"/>
      <c r="BVN831" s="134"/>
      <c r="BVO831" s="134"/>
      <c r="BVP831" s="134"/>
      <c r="BVQ831" s="134"/>
      <c r="BVR831" s="134"/>
      <c r="BVS831" s="134"/>
      <c r="BVT831" s="134"/>
      <c r="BVU831" s="134"/>
      <c r="BVV831" s="134"/>
      <c r="BVW831" s="134"/>
      <c r="BVX831" s="134"/>
      <c r="BVY831" s="134"/>
      <c r="BVZ831" s="134"/>
      <c r="BWA831" s="134"/>
      <c r="BWB831" s="134"/>
      <c r="BWC831" s="134"/>
      <c r="BWD831" s="134"/>
      <c r="BWE831" s="134"/>
      <c r="BWF831" s="134"/>
      <c r="BWG831" s="134"/>
      <c r="BWH831" s="134"/>
      <c r="BWI831" s="134"/>
      <c r="BWJ831" s="134"/>
      <c r="BWK831" s="134"/>
      <c r="BWL831" s="134"/>
      <c r="BWM831" s="134"/>
      <c r="BWN831" s="134"/>
      <c r="BWO831" s="134"/>
      <c r="BWP831" s="134"/>
      <c r="BWQ831" s="134"/>
      <c r="BWR831" s="134"/>
      <c r="BWS831" s="134"/>
      <c r="BWT831" s="134"/>
      <c r="BWU831" s="134"/>
      <c r="BWV831" s="134"/>
      <c r="BWW831" s="134"/>
      <c r="BWX831" s="134"/>
      <c r="BWY831" s="134"/>
      <c r="BWZ831" s="134"/>
      <c r="BXA831" s="134"/>
      <c r="BXB831" s="134"/>
      <c r="BXC831" s="134"/>
      <c r="BXD831" s="134"/>
      <c r="BXE831" s="134"/>
      <c r="BXF831" s="134"/>
      <c r="BXG831" s="134"/>
      <c r="BXH831" s="134"/>
      <c r="BXI831" s="134"/>
      <c r="BXJ831" s="134"/>
      <c r="BXK831" s="134"/>
      <c r="BXL831" s="134"/>
      <c r="BXM831" s="134"/>
      <c r="BXN831" s="134"/>
      <c r="BXO831" s="134"/>
      <c r="BXP831" s="134"/>
      <c r="BXQ831" s="134"/>
      <c r="BXR831" s="134"/>
      <c r="BXS831" s="134"/>
      <c r="BXT831" s="134"/>
      <c r="BXU831" s="134"/>
      <c r="BXV831" s="134"/>
      <c r="BXW831" s="134"/>
      <c r="BXX831" s="134"/>
      <c r="BXY831" s="134"/>
      <c r="BXZ831" s="134"/>
      <c r="BYA831" s="134"/>
      <c r="BYB831" s="134"/>
      <c r="BYC831" s="134"/>
      <c r="BYD831" s="134"/>
      <c r="BYE831" s="134"/>
      <c r="BYF831" s="134"/>
      <c r="BYG831" s="134"/>
      <c r="BYH831" s="134"/>
      <c r="BYI831" s="134"/>
      <c r="BYJ831" s="134"/>
      <c r="BYK831" s="134"/>
      <c r="BYL831" s="134"/>
      <c r="BYM831" s="134"/>
      <c r="BYN831" s="134"/>
      <c r="BYO831" s="134"/>
      <c r="BYP831" s="134"/>
      <c r="BYQ831" s="134"/>
      <c r="BYR831" s="134"/>
      <c r="BYS831" s="134"/>
      <c r="BYT831" s="134"/>
      <c r="BYU831" s="134"/>
      <c r="BYV831" s="134"/>
      <c r="BYW831" s="134"/>
      <c r="BYX831" s="134"/>
      <c r="BYY831" s="134"/>
      <c r="BYZ831" s="134"/>
      <c r="BZA831" s="134"/>
      <c r="BZB831" s="134"/>
      <c r="BZC831" s="134"/>
      <c r="BZD831" s="134"/>
      <c r="BZE831" s="134"/>
      <c r="BZF831" s="134"/>
      <c r="BZG831" s="134"/>
      <c r="BZH831" s="134"/>
      <c r="BZI831" s="134"/>
      <c r="BZJ831" s="134"/>
      <c r="BZK831" s="134"/>
      <c r="BZL831" s="134"/>
      <c r="BZM831" s="134"/>
      <c r="BZN831" s="134"/>
      <c r="BZO831" s="134"/>
      <c r="BZP831" s="134"/>
      <c r="BZQ831" s="134"/>
      <c r="BZR831" s="134"/>
      <c r="BZS831" s="134"/>
      <c r="BZT831" s="134"/>
      <c r="BZU831" s="134"/>
      <c r="BZV831" s="134"/>
      <c r="BZW831" s="134"/>
      <c r="BZX831" s="134"/>
      <c r="BZY831" s="134"/>
      <c r="BZZ831" s="134"/>
      <c r="CAA831" s="134"/>
      <c r="CAB831" s="134"/>
      <c r="CAC831" s="134"/>
      <c r="CAD831" s="134"/>
      <c r="CAE831" s="134"/>
      <c r="CAF831" s="134"/>
      <c r="CAG831" s="134"/>
      <c r="CAH831" s="134"/>
      <c r="CAI831" s="134"/>
      <c r="CAJ831" s="134"/>
      <c r="CAK831" s="134"/>
      <c r="CAL831" s="134"/>
      <c r="CAM831" s="134"/>
      <c r="CAN831" s="134"/>
      <c r="CAO831" s="134"/>
      <c r="CAP831" s="134"/>
      <c r="CAQ831" s="134"/>
      <c r="CAR831" s="134"/>
      <c r="CAS831" s="134"/>
      <c r="CAT831" s="134"/>
      <c r="CAU831" s="134"/>
      <c r="CAV831" s="134"/>
      <c r="CAW831" s="134"/>
      <c r="CAX831" s="134"/>
      <c r="CAY831" s="134"/>
      <c r="CAZ831" s="134"/>
      <c r="CBA831" s="134"/>
      <c r="CBB831" s="134"/>
      <c r="CBC831" s="134"/>
      <c r="CBD831" s="134"/>
      <c r="CBE831" s="134"/>
      <c r="CBF831" s="134"/>
      <c r="CBG831" s="134"/>
      <c r="CBH831" s="134"/>
      <c r="CBI831" s="134"/>
      <c r="CBJ831" s="134"/>
      <c r="CBK831" s="134"/>
      <c r="CBL831" s="134"/>
      <c r="CBM831" s="134"/>
      <c r="CBN831" s="134"/>
      <c r="CBO831" s="134"/>
      <c r="CBP831" s="134"/>
      <c r="CBQ831" s="134"/>
      <c r="CBR831" s="134"/>
      <c r="CBS831" s="134"/>
      <c r="CBT831" s="134"/>
      <c r="CBU831" s="134"/>
      <c r="CBV831" s="134"/>
      <c r="CBW831" s="134"/>
      <c r="CBX831" s="134"/>
      <c r="CBY831" s="134"/>
      <c r="CBZ831" s="134"/>
      <c r="CCA831" s="134"/>
      <c r="CCB831" s="134"/>
      <c r="CCC831" s="134"/>
      <c r="CCD831" s="134"/>
      <c r="CCE831" s="134"/>
      <c r="CCF831" s="134"/>
      <c r="CCG831" s="134"/>
      <c r="CCH831" s="134"/>
      <c r="CCI831" s="134"/>
      <c r="CCJ831" s="134"/>
      <c r="CCK831" s="134"/>
      <c r="CCL831" s="134"/>
      <c r="CCM831" s="134"/>
      <c r="CCN831" s="134"/>
      <c r="CCO831" s="134"/>
      <c r="CCP831" s="134"/>
      <c r="CCQ831" s="134"/>
      <c r="CCR831" s="134"/>
      <c r="CCS831" s="134"/>
      <c r="CCT831" s="134"/>
      <c r="CCU831" s="134"/>
      <c r="CCV831" s="134"/>
      <c r="CCW831" s="134"/>
      <c r="CCX831" s="134"/>
      <c r="CCY831" s="134"/>
      <c r="CCZ831" s="134"/>
      <c r="CDA831" s="134"/>
      <c r="CDB831" s="134"/>
      <c r="CDC831" s="134"/>
      <c r="CDD831" s="134"/>
      <c r="CDE831" s="134"/>
      <c r="CDF831" s="134"/>
      <c r="CDG831" s="134"/>
      <c r="CDH831" s="134"/>
      <c r="CDI831" s="134"/>
      <c r="CDJ831" s="134"/>
      <c r="CDK831" s="134"/>
      <c r="CDL831" s="134"/>
      <c r="CDM831" s="134"/>
      <c r="CDN831" s="134"/>
      <c r="CDO831" s="134"/>
      <c r="CDP831" s="134"/>
      <c r="CDQ831" s="134"/>
      <c r="CDR831" s="134"/>
      <c r="CDS831" s="134"/>
      <c r="CDT831" s="134"/>
      <c r="CDU831" s="134"/>
      <c r="CDV831" s="134"/>
      <c r="CDW831" s="134"/>
      <c r="CDX831" s="134"/>
      <c r="CDY831" s="134"/>
      <c r="CDZ831" s="134"/>
      <c r="CEA831" s="134"/>
      <c r="CEB831" s="134"/>
      <c r="CEC831" s="134"/>
      <c r="CED831" s="134"/>
      <c r="CEE831" s="134"/>
      <c r="CEF831" s="134"/>
      <c r="CEG831" s="134"/>
      <c r="CEH831" s="134"/>
      <c r="CEI831" s="134"/>
      <c r="CEJ831" s="134"/>
      <c r="CEK831" s="134"/>
      <c r="CEL831" s="134"/>
      <c r="CEM831" s="134"/>
      <c r="CEN831" s="134"/>
      <c r="CEO831" s="134"/>
      <c r="CEP831" s="134"/>
      <c r="CEQ831" s="134"/>
      <c r="CER831" s="134"/>
      <c r="CES831" s="134"/>
      <c r="CET831" s="134"/>
      <c r="CEU831" s="134"/>
      <c r="CEV831" s="134"/>
      <c r="CEW831" s="134"/>
      <c r="CEX831" s="134"/>
      <c r="CEY831" s="134"/>
      <c r="CEZ831" s="134"/>
      <c r="CFA831" s="134"/>
      <c r="CFB831" s="134"/>
      <c r="CFC831" s="134"/>
      <c r="CFD831" s="134"/>
      <c r="CFE831" s="134"/>
      <c r="CFF831" s="134"/>
      <c r="CFG831" s="134"/>
      <c r="CFH831" s="134"/>
      <c r="CFI831" s="134"/>
      <c r="CFJ831" s="134"/>
      <c r="CFK831" s="134"/>
      <c r="CFL831" s="134"/>
      <c r="CFM831" s="134"/>
      <c r="CFN831" s="134"/>
      <c r="CFO831" s="134"/>
      <c r="CFP831" s="134"/>
      <c r="CFQ831" s="134"/>
      <c r="CFR831" s="134"/>
      <c r="CFS831" s="134"/>
      <c r="CFT831" s="134"/>
      <c r="CFU831" s="134"/>
      <c r="CFV831" s="134"/>
      <c r="CFW831" s="134"/>
      <c r="CFX831" s="134"/>
      <c r="CFY831" s="134"/>
      <c r="CFZ831" s="134"/>
      <c r="CGA831" s="134"/>
      <c r="CGB831" s="134"/>
      <c r="CGC831" s="134"/>
      <c r="CGD831" s="134"/>
      <c r="CGE831" s="134"/>
      <c r="CGF831" s="134"/>
      <c r="CGG831" s="134"/>
      <c r="CGH831" s="134"/>
      <c r="CGI831" s="134"/>
      <c r="CGJ831" s="134"/>
      <c r="CGK831" s="134"/>
      <c r="CGL831" s="134"/>
      <c r="CGM831" s="134"/>
      <c r="CGN831" s="134"/>
      <c r="CGO831" s="134"/>
      <c r="CGP831" s="134"/>
      <c r="CGQ831" s="134"/>
      <c r="CGR831" s="134"/>
      <c r="CGS831" s="134"/>
      <c r="CGT831" s="134"/>
      <c r="CGU831" s="134"/>
      <c r="CGV831" s="134"/>
      <c r="CGW831" s="134"/>
      <c r="CGX831" s="134"/>
      <c r="CGY831" s="134"/>
      <c r="CGZ831" s="134"/>
      <c r="CHA831" s="134"/>
      <c r="CHB831" s="134"/>
      <c r="CHC831" s="134"/>
      <c r="CHD831" s="134"/>
      <c r="CHE831" s="134"/>
      <c r="CHF831" s="134"/>
      <c r="CHG831" s="134"/>
      <c r="CHH831" s="134"/>
      <c r="CHI831" s="134"/>
      <c r="CHJ831" s="134"/>
      <c r="CHK831" s="134"/>
      <c r="CHL831" s="134"/>
      <c r="CHM831" s="134"/>
      <c r="CHN831" s="134"/>
      <c r="CHO831" s="134"/>
      <c r="CHP831" s="134"/>
      <c r="CHQ831" s="134"/>
      <c r="CHR831" s="134"/>
      <c r="CHS831" s="134"/>
      <c r="CHT831" s="134"/>
      <c r="CHU831" s="134"/>
      <c r="CHV831" s="134"/>
      <c r="CHW831" s="134"/>
      <c r="CHX831" s="134"/>
      <c r="CHY831" s="134"/>
      <c r="CHZ831" s="134"/>
      <c r="CIA831" s="134"/>
      <c r="CIB831" s="134"/>
      <c r="CIC831" s="134"/>
      <c r="CID831" s="134"/>
      <c r="CIE831" s="134"/>
      <c r="CIF831" s="134"/>
      <c r="CIG831" s="134"/>
      <c r="CIH831" s="134"/>
      <c r="CII831" s="134"/>
      <c r="CIJ831" s="134"/>
      <c r="CIK831" s="134"/>
      <c r="CIL831" s="134"/>
      <c r="CIM831" s="134"/>
      <c r="CIN831" s="134"/>
      <c r="CIO831" s="134"/>
      <c r="CIP831" s="134"/>
      <c r="CIQ831" s="134"/>
      <c r="CIR831" s="134"/>
      <c r="CIS831" s="134"/>
      <c r="CIT831" s="134"/>
      <c r="CIU831" s="134"/>
      <c r="CIV831" s="134"/>
      <c r="CIW831" s="134"/>
      <c r="CIX831" s="134"/>
      <c r="CIY831" s="134"/>
      <c r="CIZ831" s="134"/>
      <c r="CJA831" s="134"/>
      <c r="CJB831" s="134"/>
      <c r="CJC831" s="134"/>
      <c r="CJD831" s="134"/>
      <c r="CJE831" s="134"/>
      <c r="CJF831" s="134"/>
      <c r="CJG831" s="134"/>
      <c r="CJH831" s="134"/>
      <c r="CJI831" s="134"/>
      <c r="CJJ831" s="134"/>
      <c r="CJK831" s="134"/>
      <c r="CJL831" s="134"/>
      <c r="CJM831" s="134"/>
      <c r="CJN831" s="134"/>
      <c r="CJO831" s="134"/>
      <c r="CJP831" s="134"/>
      <c r="CJQ831" s="134"/>
      <c r="CJR831" s="134"/>
      <c r="CJS831" s="134"/>
      <c r="CJT831" s="134"/>
      <c r="CJU831" s="134"/>
      <c r="CJV831" s="134"/>
      <c r="CJW831" s="134"/>
      <c r="CJX831" s="134"/>
      <c r="CJY831" s="134"/>
      <c r="CJZ831" s="134"/>
      <c r="CKA831" s="134"/>
      <c r="CKB831" s="134"/>
      <c r="CKC831" s="134"/>
      <c r="CKD831" s="134"/>
      <c r="CKE831" s="134"/>
      <c r="CKF831" s="134"/>
      <c r="CKG831" s="134"/>
      <c r="CKH831" s="134"/>
      <c r="CKI831" s="134"/>
      <c r="CKJ831" s="134"/>
      <c r="CKK831" s="134"/>
      <c r="CKL831" s="134"/>
      <c r="CKM831" s="134"/>
      <c r="CKN831" s="134"/>
      <c r="CKO831" s="134"/>
      <c r="CKP831" s="134"/>
      <c r="CKQ831" s="134"/>
      <c r="CKR831" s="134"/>
      <c r="CKS831" s="134"/>
      <c r="CKT831" s="134"/>
      <c r="CKU831" s="134"/>
      <c r="CKV831" s="134"/>
      <c r="CKW831" s="134"/>
      <c r="CKX831" s="134"/>
      <c r="CKY831" s="134"/>
      <c r="CKZ831" s="134"/>
      <c r="CLA831" s="134"/>
      <c r="CLB831" s="134"/>
      <c r="CLC831" s="134"/>
      <c r="CLD831" s="134"/>
      <c r="CLE831" s="134"/>
      <c r="CLF831" s="134"/>
      <c r="CLG831" s="134"/>
      <c r="CLH831" s="134"/>
      <c r="CLI831" s="134"/>
      <c r="CLJ831" s="134"/>
      <c r="CLK831" s="134"/>
      <c r="CLL831" s="134"/>
      <c r="CLM831" s="134"/>
      <c r="CLN831" s="134"/>
      <c r="CLO831" s="134"/>
      <c r="CLP831" s="134"/>
      <c r="CLQ831" s="134"/>
      <c r="CLR831" s="134"/>
      <c r="CLS831" s="134"/>
      <c r="CLT831" s="134"/>
      <c r="CLU831" s="134"/>
      <c r="CLV831" s="134"/>
      <c r="CLW831" s="134"/>
      <c r="CLX831" s="134"/>
      <c r="CLY831" s="134"/>
      <c r="CLZ831" s="134"/>
      <c r="CMA831" s="134"/>
      <c r="CMB831" s="134"/>
      <c r="CMC831" s="134"/>
      <c r="CMD831" s="134"/>
      <c r="CME831" s="134"/>
      <c r="CMF831" s="134"/>
      <c r="CMG831" s="134"/>
      <c r="CMH831" s="134"/>
      <c r="CMI831" s="134"/>
      <c r="CMJ831" s="134"/>
      <c r="CMK831" s="134"/>
      <c r="CML831" s="134"/>
      <c r="CMM831" s="134"/>
      <c r="CMN831" s="134"/>
      <c r="CMO831" s="134"/>
      <c r="CMP831" s="134"/>
      <c r="CMQ831" s="134"/>
      <c r="CMR831" s="134"/>
      <c r="CMS831" s="134"/>
      <c r="CMT831" s="134"/>
      <c r="CMU831" s="134"/>
      <c r="CMV831" s="134"/>
      <c r="CMW831" s="134"/>
      <c r="CMX831" s="134"/>
      <c r="CMY831" s="134"/>
      <c r="CMZ831" s="134"/>
      <c r="CNA831" s="134"/>
      <c r="CNB831" s="134"/>
      <c r="CNC831" s="134"/>
      <c r="CND831" s="134"/>
      <c r="CNE831" s="134"/>
      <c r="CNF831" s="134"/>
      <c r="CNG831" s="134"/>
      <c r="CNH831" s="134"/>
      <c r="CNI831" s="134"/>
      <c r="CNJ831" s="134"/>
      <c r="CNK831" s="134"/>
      <c r="CNL831" s="134"/>
      <c r="CNM831" s="134"/>
      <c r="CNN831" s="134"/>
      <c r="CNO831" s="134"/>
      <c r="CNP831" s="134"/>
      <c r="CNQ831" s="134"/>
      <c r="CNR831" s="134"/>
      <c r="CNS831" s="134"/>
      <c r="CNT831" s="134"/>
      <c r="CNU831" s="134"/>
      <c r="CNV831" s="134"/>
      <c r="CNW831" s="134"/>
      <c r="CNX831" s="134"/>
      <c r="CNY831" s="134"/>
      <c r="CNZ831" s="134"/>
      <c r="COA831" s="134"/>
      <c r="COB831" s="134"/>
      <c r="COC831" s="134"/>
      <c r="COD831" s="134"/>
      <c r="COE831" s="134"/>
      <c r="COF831" s="134"/>
      <c r="COG831" s="134"/>
      <c r="COH831" s="134"/>
      <c r="COI831" s="134"/>
      <c r="COJ831" s="134"/>
      <c r="COK831" s="134"/>
      <c r="COL831" s="134"/>
      <c r="COM831" s="134"/>
      <c r="CON831" s="134"/>
      <c r="COO831" s="134"/>
      <c r="COP831" s="134"/>
      <c r="COQ831" s="134"/>
      <c r="COR831" s="134"/>
      <c r="COS831" s="134"/>
      <c r="COT831" s="134"/>
      <c r="COU831" s="134"/>
      <c r="COV831" s="134"/>
      <c r="COW831" s="134"/>
      <c r="COX831" s="134"/>
      <c r="COY831" s="134"/>
      <c r="COZ831" s="134"/>
      <c r="CPA831" s="134"/>
      <c r="CPB831" s="134"/>
      <c r="CPC831" s="134"/>
      <c r="CPD831" s="134"/>
      <c r="CPE831" s="134"/>
      <c r="CPF831" s="134"/>
      <c r="CPG831" s="134"/>
      <c r="CPH831" s="134"/>
      <c r="CPI831" s="134"/>
      <c r="CPJ831" s="134"/>
      <c r="CPK831" s="134"/>
      <c r="CPL831" s="134"/>
      <c r="CPM831" s="134"/>
      <c r="CPN831" s="134"/>
      <c r="CPO831" s="134"/>
      <c r="CPP831" s="134"/>
      <c r="CPQ831" s="134"/>
      <c r="CPR831" s="134"/>
      <c r="CPS831" s="134"/>
      <c r="CPT831" s="134"/>
      <c r="CPU831" s="134"/>
      <c r="CPV831" s="134"/>
      <c r="CPW831" s="134"/>
      <c r="CPX831" s="134"/>
      <c r="CPY831" s="134"/>
      <c r="CPZ831" s="134"/>
      <c r="CQA831" s="134"/>
      <c r="CQB831" s="134"/>
      <c r="CQC831" s="134"/>
      <c r="CQD831" s="134"/>
      <c r="CQE831" s="134"/>
      <c r="CQF831" s="134"/>
      <c r="CQG831" s="134"/>
      <c r="CQH831" s="134"/>
      <c r="CQI831" s="134"/>
      <c r="CQJ831" s="134"/>
      <c r="CQK831" s="134"/>
      <c r="CQL831" s="134"/>
      <c r="CQM831" s="134"/>
      <c r="CQN831" s="134"/>
      <c r="CQO831" s="134"/>
      <c r="CQP831" s="134"/>
      <c r="CQQ831" s="134"/>
      <c r="CQR831" s="134"/>
      <c r="CQS831" s="134"/>
      <c r="CQT831" s="134"/>
      <c r="CQU831" s="134"/>
      <c r="CQV831" s="134"/>
      <c r="CQW831" s="134"/>
      <c r="CQX831" s="134"/>
      <c r="CQY831" s="134"/>
      <c r="CQZ831" s="134"/>
      <c r="CRA831" s="134"/>
      <c r="CRB831" s="134"/>
      <c r="CRC831" s="134"/>
      <c r="CRD831" s="134"/>
      <c r="CRE831" s="134"/>
      <c r="CRF831" s="134"/>
      <c r="CRG831" s="134"/>
      <c r="CRH831" s="134"/>
      <c r="CRI831" s="134"/>
      <c r="CRJ831" s="134"/>
      <c r="CRK831" s="134"/>
      <c r="CRL831" s="134"/>
      <c r="CRM831" s="134"/>
      <c r="CRN831" s="134"/>
      <c r="CRO831" s="134"/>
      <c r="CRP831" s="134"/>
      <c r="CRQ831" s="134"/>
      <c r="CRR831" s="134"/>
      <c r="CRS831" s="134"/>
      <c r="CRT831" s="134"/>
      <c r="CRU831" s="134"/>
      <c r="CRV831" s="134"/>
      <c r="CRW831" s="134"/>
      <c r="CRX831" s="134"/>
      <c r="CRY831" s="134"/>
      <c r="CRZ831" s="134"/>
      <c r="CSA831" s="134"/>
      <c r="CSB831" s="134"/>
      <c r="CSC831" s="134"/>
      <c r="CSD831" s="134"/>
      <c r="CSE831" s="134"/>
      <c r="CSF831" s="134"/>
      <c r="CSG831" s="134"/>
      <c r="CSH831" s="134"/>
      <c r="CSI831" s="134"/>
      <c r="CSJ831" s="134"/>
      <c r="CSK831" s="134"/>
      <c r="CSL831" s="134"/>
      <c r="CSM831" s="134"/>
      <c r="CSN831" s="134"/>
      <c r="CSO831" s="134"/>
      <c r="CSP831" s="134"/>
      <c r="CSQ831" s="134"/>
      <c r="CSR831" s="134"/>
      <c r="CSS831" s="134"/>
      <c r="CST831" s="134"/>
      <c r="CSU831" s="134"/>
      <c r="CSV831" s="134"/>
      <c r="CSW831" s="134"/>
      <c r="CSX831" s="134"/>
      <c r="CSY831" s="134"/>
      <c r="CSZ831" s="134"/>
      <c r="CTA831" s="134"/>
      <c r="CTB831" s="134"/>
      <c r="CTC831" s="134"/>
      <c r="CTD831" s="134"/>
      <c r="CTE831" s="134"/>
      <c r="CTF831" s="134"/>
      <c r="CTG831" s="134"/>
      <c r="CTH831" s="134"/>
      <c r="CTI831" s="134"/>
      <c r="CTJ831" s="134"/>
      <c r="CTK831" s="134"/>
      <c r="CTL831" s="134"/>
      <c r="CTM831" s="134"/>
      <c r="CTN831" s="134"/>
      <c r="CTO831" s="134"/>
      <c r="CTP831" s="134"/>
      <c r="CTQ831" s="134"/>
      <c r="CTR831" s="134"/>
      <c r="CTS831" s="134"/>
      <c r="CTT831" s="134"/>
      <c r="CTU831" s="134"/>
      <c r="CTV831" s="134"/>
      <c r="CTW831" s="134"/>
      <c r="CTX831" s="134"/>
      <c r="CTY831" s="134"/>
      <c r="CTZ831" s="134"/>
      <c r="CUA831" s="134"/>
      <c r="CUB831" s="134"/>
      <c r="CUC831" s="134"/>
      <c r="CUD831" s="134"/>
      <c r="CUE831" s="134"/>
      <c r="CUF831" s="134"/>
      <c r="CUG831" s="134"/>
      <c r="CUH831" s="134"/>
      <c r="CUI831" s="134"/>
      <c r="CUJ831" s="134"/>
      <c r="CUK831" s="134"/>
      <c r="CUL831" s="134"/>
      <c r="CUM831" s="134"/>
      <c r="CUN831" s="134"/>
      <c r="CUO831" s="134"/>
      <c r="CUP831" s="134"/>
      <c r="CUQ831" s="134"/>
      <c r="CUR831" s="134"/>
      <c r="CUS831" s="134"/>
      <c r="CUT831" s="134"/>
      <c r="CUU831" s="134"/>
      <c r="CUV831" s="134"/>
      <c r="CUW831" s="134"/>
      <c r="CUX831" s="134"/>
      <c r="CUY831" s="134"/>
      <c r="CUZ831" s="134"/>
      <c r="CVA831" s="134"/>
      <c r="CVB831" s="134"/>
      <c r="CVC831" s="134"/>
      <c r="CVD831" s="134"/>
      <c r="CVE831" s="134"/>
      <c r="CVF831" s="134"/>
      <c r="CVG831" s="134"/>
      <c r="CVH831" s="134"/>
      <c r="CVI831" s="134"/>
      <c r="CVJ831" s="134"/>
      <c r="CVK831" s="134"/>
      <c r="CVL831" s="134"/>
      <c r="CVM831" s="134"/>
      <c r="CVN831" s="134"/>
      <c r="CVO831" s="134"/>
      <c r="CVP831" s="134"/>
      <c r="CVQ831" s="134"/>
      <c r="CVR831" s="134"/>
      <c r="CVS831" s="134"/>
      <c r="CVT831" s="134"/>
      <c r="CVU831" s="134"/>
      <c r="CVV831" s="134"/>
      <c r="CVW831" s="134"/>
      <c r="CVX831" s="134"/>
      <c r="CVY831" s="134"/>
      <c r="CVZ831" s="134"/>
      <c r="CWA831" s="134"/>
      <c r="CWB831" s="134"/>
      <c r="CWC831" s="134"/>
      <c r="CWD831" s="134"/>
      <c r="CWE831" s="134"/>
      <c r="CWF831" s="134"/>
      <c r="CWG831" s="134"/>
      <c r="CWH831" s="134"/>
      <c r="CWI831" s="134"/>
      <c r="CWJ831" s="134"/>
      <c r="CWK831" s="134"/>
      <c r="CWL831" s="134"/>
      <c r="CWM831" s="134"/>
      <c r="CWN831" s="134"/>
      <c r="CWO831" s="134"/>
      <c r="CWP831" s="134"/>
      <c r="CWQ831" s="134"/>
      <c r="CWR831" s="134"/>
      <c r="CWS831" s="134"/>
      <c r="CWT831" s="134"/>
      <c r="CWU831" s="134"/>
      <c r="CWV831" s="134"/>
      <c r="CWW831" s="134"/>
      <c r="CWX831" s="134"/>
      <c r="CWY831" s="134"/>
      <c r="CWZ831" s="134"/>
      <c r="CXA831" s="134"/>
      <c r="CXB831" s="134"/>
      <c r="CXC831" s="134"/>
      <c r="CXD831" s="134"/>
      <c r="CXE831" s="134"/>
      <c r="CXF831" s="134"/>
      <c r="CXG831" s="134"/>
      <c r="CXH831" s="134"/>
      <c r="CXI831" s="134"/>
      <c r="CXJ831" s="134"/>
      <c r="CXK831" s="134"/>
      <c r="CXL831" s="134"/>
      <c r="CXM831" s="134"/>
      <c r="CXN831" s="134"/>
      <c r="CXO831" s="134"/>
      <c r="CXP831" s="134"/>
      <c r="CXQ831" s="134"/>
      <c r="CXR831" s="134"/>
      <c r="CXS831" s="134"/>
      <c r="CXT831" s="134"/>
      <c r="CXU831" s="134"/>
      <c r="CXV831" s="134"/>
      <c r="CXW831" s="134"/>
      <c r="CXX831" s="134"/>
      <c r="CXY831" s="134"/>
      <c r="CXZ831" s="134"/>
      <c r="CYA831" s="134"/>
      <c r="CYB831" s="134"/>
      <c r="CYC831" s="134"/>
      <c r="CYD831" s="134"/>
      <c r="CYE831" s="134"/>
      <c r="CYF831" s="134"/>
      <c r="CYG831" s="134"/>
      <c r="CYH831" s="134"/>
      <c r="CYI831" s="134"/>
      <c r="CYJ831" s="134"/>
      <c r="CYK831" s="134"/>
      <c r="CYL831" s="134"/>
      <c r="CYM831" s="134"/>
      <c r="CYN831" s="134"/>
      <c r="CYO831" s="134"/>
      <c r="CYP831" s="134"/>
      <c r="CYQ831" s="134"/>
      <c r="CYR831" s="134"/>
      <c r="CYS831" s="134"/>
      <c r="CYT831" s="134"/>
      <c r="CYU831" s="134"/>
      <c r="CYV831" s="134"/>
      <c r="CYW831" s="134"/>
      <c r="CYX831" s="134"/>
      <c r="CYY831" s="134"/>
      <c r="CYZ831" s="134"/>
      <c r="CZA831" s="134"/>
      <c r="CZB831" s="134"/>
      <c r="CZC831" s="134"/>
      <c r="CZD831" s="134"/>
      <c r="CZE831" s="134"/>
      <c r="CZF831" s="134"/>
      <c r="CZG831" s="134"/>
      <c r="CZH831" s="134"/>
      <c r="CZI831" s="134"/>
      <c r="CZJ831" s="134"/>
      <c r="CZK831" s="134"/>
      <c r="CZL831" s="134"/>
      <c r="CZM831" s="134"/>
      <c r="CZN831" s="134"/>
      <c r="CZO831" s="134"/>
      <c r="CZP831" s="134"/>
      <c r="CZQ831" s="134"/>
      <c r="CZR831" s="134"/>
      <c r="CZS831" s="134"/>
      <c r="CZT831" s="134"/>
      <c r="CZU831" s="134"/>
      <c r="CZV831" s="134"/>
      <c r="CZW831" s="134"/>
      <c r="CZX831" s="134"/>
      <c r="CZY831" s="134"/>
      <c r="CZZ831" s="134"/>
      <c r="DAA831" s="134"/>
      <c r="DAB831" s="134"/>
      <c r="DAC831" s="134"/>
      <c r="DAD831" s="134"/>
      <c r="DAE831" s="134"/>
      <c r="DAF831" s="134"/>
      <c r="DAG831" s="134"/>
      <c r="DAH831" s="134"/>
      <c r="DAI831" s="134"/>
      <c r="DAJ831" s="134"/>
      <c r="DAK831" s="134"/>
      <c r="DAL831" s="134"/>
      <c r="DAM831" s="134"/>
      <c r="DAN831" s="134"/>
      <c r="DAO831" s="134"/>
      <c r="DAP831" s="134"/>
      <c r="DAQ831" s="134"/>
      <c r="DAR831" s="134"/>
      <c r="DAS831" s="134"/>
      <c r="DAT831" s="134"/>
      <c r="DAU831" s="134"/>
      <c r="DAV831" s="134"/>
      <c r="DAW831" s="134"/>
      <c r="DAX831" s="134"/>
      <c r="DAY831" s="134"/>
      <c r="DAZ831" s="134"/>
      <c r="DBA831" s="134"/>
      <c r="DBB831" s="134"/>
      <c r="DBC831" s="134"/>
      <c r="DBD831" s="134"/>
      <c r="DBE831" s="134"/>
      <c r="DBF831" s="134"/>
      <c r="DBG831" s="134"/>
      <c r="DBH831" s="134"/>
      <c r="DBI831" s="134"/>
      <c r="DBJ831" s="134"/>
      <c r="DBK831" s="134"/>
      <c r="DBL831" s="134"/>
      <c r="DBM831" s="134"/>
      <c r="DBN831" s="134"/>
      <c r="DBO831" s="134"/>
      <c r="DBP831" s="134"/>
      <c r="DBQ831" s="134"/>
      <c r="DBR831" s="134"/>
      <c r="DBS831" s="134"/>
      <c r="DBT831" s="134"/>
      <c r="DBU831" s="134"/>
      <c r="DBV831" s="134"/>
      <c r="DBW831" s="134"/>
      <c r="DBX831" s="134"/>
      <c r="DBY831" s="134"/>
      <c r="DBZ831" s="134"/>
      <c r="DCA831" s="134"/>
      <c r="DCB831" s="134"/>
      <c r="DCC831" s="134"/>
      <c r="DCD831" s="134"/>
      <c r="DCE831" s="134"/>
      <c r="DCF831" s="134"/>
      <c r="DCG831" s="134"/>
      <c r="DCH831" s="134"/>
      <c r="DCI831" s="134"/>
      <c r="DCJ831" s="134"/>
      <c r="DCK831" s="134"/>
      <c r="DCL831" s="134"/>
      <c r="DCM831" s="134"/>
      <c r="DCN831" s="134"/>
      <c r="DCO831" s="134"/>
      <c r="DCP831" s="134"/>
      <c r="DCQ831" s="134"/>
      <c r="DCR831" s="134"/>
      <c r="DCS831" s="134"/>
      <c r="DCT831" s="134"/>
      <c r="DCU831" s="134"/>
      <c r="DCV831" s="134"/>
      <c r="DCW831" s="134"/>
      <c r="DCX831" s="134"/>
      <c r="DCY831" s="134"/>
      <c r="DCZ831" s="134"/>
      <c r="DDA831" s="134"/>
      <c r="DDB831" s="134"/>
      <c r="DDC831" s="134"/>
      <c r="DDD831" s="134"/>
      <c r="DDE831" s="134"/>
      <c r="DDF831" s="134"/>
      <c r="DDG831" s="134"/>
      <c r="DDH831" s="134"/>
      <c r="DDI831" s="134"/>
      <c r="DDJ831" s="134"/>
      <c r="DDK831" s="134"/>
      <c r="DDL831" s="134"/>
      <c r="DDM831" s="134"/>
      <c r="DDN831" s="134"/>
      <c r="DDO831" s="134"/>
      <c r="DDP831" s="134"/>
      <c r="DDQ831" s="134"/>
      <c r="DDR831" s="134"/>
      <c r="DDS831" s="134"/>
      <c r="DDT831" s="134"/>
      <c r="DDU831" s="134"/>
      <c r="DDV831" s="134"/>
      <c r="DDW831" s="134"/>
      <c r="DDX831" s="134"/>
      <c r="DDY831" s="134"/>
      <c r="DDZ831" s="134"/>
      <c r="DEA831" s="134"/>
      <c r="DEB831" s="134"/>
      <c r="DEC831" s="134"/>
      <c r="DED831" s="134"/>
      <c r="DEE831" s="134"/>
      <c r="DEF831" s="134"/>
      <c r="DEG831" s="134"/>
      <c r="DEH831" s="134"/>
      <c r="DEI831" s="134"/>
      <c r="DEJ831" s="134"/>
      <c r="DEK831" s="134"/>
      <c r="DEL831" s="134"/>
      <c r="DEM831" s="134"/>
      <c r="DEN831" s="134"/>
      <c r="DEO831" s="134"/>
      <c r="DEP831" s="134"/>
      <c r="DEQ831" s="134"/>
      <c r="DER831" s="134"/>
      <c r="DES831" s="134"/>
      <c r="DET831" s="134"/>
      <c r="DEU831" s="134"/>
      <c r="DEV831" s="134"/>
      <c r="DEW831" s="134"/>
      <c r="DEX831" s="134"/>
      <c r="DEY831" s="134"/>
      <c r="DEZ831" s="134"/>
      <c r="DFA831" s="134"/>
      <c r="DFB831" s="134"/>
      <c r="DFC831" s="134"/>
      <c r="DFD831" s="134"/>
      <c r="DFE831" s="134"/>
      <c r="DFF831" s="134"/>
      <c r="DFG831" s="134"/>
      <c r="DFH831" s="134"/>
      <c r="DFI831" s="134"/>
      <c r="DFJ831" s="134"/>
      <c r="DFK831" s="134"/>
      <c r="DFL831" s="134"/>
      <c r="DFM831" s="134"/>
      <c r="DFN831" s="134"/>
      <c r="DFO831" s="134"/>
      <c r="DFP831" s="134"/>
      <c r="DFQ831" s="134"/>
      <c r="DFR831" s="134"/>
      <c r="DFS831" s="134"/>
      <c r="DFT831" s="134"/>
      <c r="DFU831" s="134"/>
      <c r="DFV831" s="134"/>
      <c r="DFW831" s="134"/>
      <c r="DFX831" s="134"/>
      <c r="DFY831" s="134"/>
      <c r="DFZ831" s="134"/>
      <c r="DGA831" s="134"/>
      <c r="DGB831" s="134"/>
      <c r="DGC831" s="134"/>
      <c r="DGD831" s="134"/>
      <c r="DGE831" s="134"/>
      <c r="DGF831" s="134"/>
      <c r="DGG831" s="134"/>
      <c r="DGH831" s="134"/>
      <c r="DGI831" s="134"/>
      <c r="DGJ831" s="134"/>
      <c r="DGK831" s="134"/>
      <c r="DGL831" s="134"/>
      <c r="DGM831" s="134"/>
      <c r="DGN831" s="134"/>
      <c r="DGO831" s="134"/>
      <c r="DGP831" s="134"/>
      <c r="DGQ831" s="134"/>
      <c r="DGR831" s="134"/>
      <c r="DGS831" s="134"/>
      <c r="DGT831" s="134"/>
      <c r="DGU831" s="134"/>
      <c r="DGV831" s="134"/>
      <c r="DGW831" s="134"/>
      <c r="DGX831" s="134"/>
      <c r="DGY831" s="134"/>
      <c r="DGZ831" s="134"/>
      <c r="DHA831" s="134"/>
      <c r="DHB831" s="134"/>
      <c r="DHC831" s="134"/>
      <c r="DHD831" s="134"/>
      <c r="DHE831" s="134"/>
      <c r="DHF831" s="134"/>
      <c r="DHG831" s="134"/>
      <c r="DHH831" s="134"/>
      <c r="DHI831" s="134"/>
      <c r="DHJ831" s="134"/>
      <c r="DHK831" s="134"/>
      <c r="DHL831" s="134"/>
      <c r="DHM831" s="134"/>
      <c r="DHN831" s="134"/>
      <c r="DHO831" s="134"/>
      <c r="DHP831" s="134"/>
      <c r="DHQ831" s="134"/>
      <c r="DHR831" s="134"/>
      <c r="DHS831" s="134"/>
      <c r="DHT831" s="134"/>
      <c r="DHU831" s="134"/>
      <c r="DHV831" s="134"/>
      <c r="DHW831" s="134"/>
      <c r="DHX831" s="134"/>
      <c r="DHY831" s="134"/>
      <c r="DHZ831" s="134"/>
      <c r="DIA831" s="134"/>
      <c r="DIB831" s="134"/>
      <c r="DIC831" s="134"/>
      <c r="DID831" s="134"/>
      <c r="DIE831" s="134"/>
      <c r="DIF831" s="134"/>
      <c r="DIG831" s="134"/>
      <c r="DIH831" s="134"/>
      <c r="DII831" s="134"/>
      <c r="DIJ831" s="134"/>
      <c r="DIK831" s="134"/>
      <c r="DIL831" s="134"/>
      <c r="DIM831" s="134"/>
      <c r="DIN831" s="134"/>
      <c r="DIO831" s="134"/>
      <c r="DIP831" s="134"/>
      <c r="DIQ831" s="134"/>
      <c r="DIR831" s="134"/>
      <c r="DIS831" s="134"/>
      <c r="DIT831" s="134"/>
      <c r="DIU831" s="134"/>
      <c r="DIV831" s="134"/>
      <c r="DIW831" s="134"/>
      <c r="DIX831" s="134"/>
      <c r="DIY831" s="134"/>
      <c r="DIZ831" s="134"/>
      <c r="DJA831" s="134"/>
      <c r="DJB831" s="134"/>
      <c r="DJC831" s="134"/>
      <c r="DJD831" s="134"/>
      <c r="DJE831" s="134"/>
      <c r="DJF831" s="134"/>
      <c r="DJG831" s="134"/>
      <c r="DJH831" s="134"/>
      <c r="DJI831" s="134"/>
      <c r="DJJ831" s="134"/>
      <c r="DJK831" s="134"/>
      <c r="DJL831" s="134"/>
      <c r="DJM831" s="134"/>
      <c r="DJN831" s="134"/>
      <c r="DJO831" s="134"/>
      <c r="DJP831" s="134"/>
      <c r="DJQ831" s="134"/>
      <c r="DJR831" s="134"/>
      <c r="DJS831" s="134"/>
      <c r="DJT831" s="134"/>
      <c r="DJU831" s="134"/>
      <c r="DJV831" s="134"/>
      <c r="DJW831" s="134"/>
      <c r="DJX831" s="134"/>
      <c r="DJY831" s="134"/>
      <c r="DJZ831" s="134"/>
      <c r="DKA831" s="134"/>
      <c r="DKB831" s="134"/>
      <c r="DKC831" s="134"/>
      <c r="DKD831" s="134"/>
      <c r="DKE831" s="134"/>
      <c r="DKF831" s="134"/>
      <c r="DKG831" s="134"/>
      <c r="DKH831" s="134"/>
      <c r="DKI831" s="134"/>
      <c r="DKJ831" s="134"/>
      <c r="DKK831" s="134"/>
      <c r="DKL831" s="134"/>
      <c r="DKM831" s="134"/>
      <c r="DKN831" s="134"/>
      <c r="DKO831" s="134"/>
      <c r="DKP831" s="134"/>
      <c r="DKQ831" s="134"/>
      <c r="DKR831" s="134"/>
      <c r="DKS831" s="134"/>
      <c r="DKT831" s="134"/>
      <c r="DKU831" s="134"/>
      <c r="DKV831" s="134"/>
      <c r="DKW831" s="134"/>
      <c r="DKX831" s="134"/>
      <c r="DKY831" s="134"/>
      <c r="DKZ831" s="134"/>
      <c r="DLA831" s="134"/>
      <c r="DLB831" s="134"/>
      <c r="DLC831" s="134"/>
      <c r="DLD831" s="134"/>
      <c r="DLE831" s="134"/>
      <c r="DLF831" s="134"/>
      <c r="DLG831" s="134"/>
      <c r="DLH831" s="134"/>
      <c r="DLI831" s="134"/>
      <c r="DLJ831" s="134"/>
      <c r="DLK831" s="134"/>
      <c r="DLL831" s="134"/>
      <c r="DLM831" s="134"/>
      <c r="DLN831" s="134"/>
      <c r="DLO831" s="134"/>
      <c r="DLP831" s="134"/>
      <c r="DLQ831" s="134"/>
      <c r="DLR831" s="134"/>
      <c r="DLS831" s="134"/>
      <c r="DLT831" s="134"/>
      <c r="DLU831" s="134"/>
      <c r="DLV831" s="134"/>
      <c r="DLW831" s="134"/>
      <c r="DLX831" s="134"/>
      <c r="DLY831" s="134"/>
      <c r="DLZ831" s="134"/>
      <c r="DMA831" s="134"/>
      <c r="DMB831" s="134"/>
      <c r="DMC831" s="134"/>
      <c r="DMD831" s="134"/>
      <c r="DME831" s="134"/>
      <c r="DMF831" s="134"/>
      <c r="DMG831" s="134"/>
      <c r="DMH831" s="134"/>
      <c r="DMI831" s="134"/>
      <c r="DMJ831" s="134"/>
      <c r="DMK831" s="134"/>
      <c r="DML831" s="134"/>
      <c r="DMM831" s="134"/>
      <c r="DMN831" s="134"/>
      <c r="DMO831" s="134"/>
      <c r="DMP831" s="134"/>
      <c r="DMQ831" s="134"/>
      <c r="DMR831" s="134"/>
      <c r="DMS831" s="134"/>
      <c r="DMT831" s="134"/>
      <c r="DMU831" s="134"/>
      <c r="DMV831" s="134"/>
      <c r="DMW831" s="134"/>
      <c r="DMX831" s="134"/>
      <c r="DMY831" s="134"/>
      <c r="DMZ831" s="134"/>
      <c r="DNA831" s="134"/>
      <c r="DNB831" s="134"/>
      <c r="DNC831" s="134"/>
      <c r="DND831" s="134"/>
      <c r="DNE831" s="134"/>
      <c r="DNF831" s="134"/>
      <c r="DNG831" s="134"/>
      <c r="DNH831" s="134"/>
      <c r="DNI831" s="134"/>
      <c r="DNJ831" s="134"/>
      <c r="DNK831" s="134"/>
      <c r="DNL831" s="134"/>
      <c r="DNM831" s="134"/>
      <c r="DNN831" s="134"/>
      <c r="DNO831" s="134"/>
      <c r="DNP831" s="134"/>
      <c r="DNQ831" s="134"/>
      <c r="DNR831" s="134"/>
      <c r="DNS831" s="134"/>
      <c r="DNT831" s="134"/>
      <c r="DNU831" s="134"/>
      <c r="DNV831" s="134"/>
      <c r="DNW831" s="134"/>
      <c r="DNX831" s="134"/>
      <c r="DNY831" s="134"/>
      <c r="DNZ831" s="134"/>
      <c r="DOA831" s="134"/>
      <c r="DOB831" s="134"/>
      <c r="DOC831" s="134"/>
      <c r="DOD831" s="134"/>
      <c r="DOE831" s="134"/>
      <c r="DOF831" s="134"/>
      <c r="DOG831" s="134"/>
      <c r="DOH831" s="134"/>
      <c r="DOI831" s="134"/>
      <c r="DOJ831" s="134"/>
      <c r="DOK831" s="134"/>
      <c r="DOL831" s="134"/>
      <c r="DOM831" s="134"/>
      <c r="DON831" s="134"/>
      <c r="DOO831" s="134"/>
      <c r="DOP831" s="134"/>
      <c r="DOQ831" s="134"/>
      <c r="DOR831" s="134"/>
      <c r="DOS831" s="134"/>
      <c r="DOT831" s="134"/>
      <c r="DOU831" s="134"/>
      <c r="DOV831" s="134"/>
      <c r="DOW831" s="134"/>
      <c r="DOX831" s="134"/>
      <c r="DOY831" s="134"/>
      <c r="DOZ831" s="134"/>
      <c r="DPA831" s="134"/>
      <c r="DPB831" s="134"/>
      <c r="DPC831" s="134"/>
      <c r="DPD831" s="134"/>
      <c r="DPE831" s="134"/>
      <c r="DPF831" s="134"/>
      <c r="DPG831" s="134"/>
      <c r="DPH831" s="134"/>
      <c r="DPI831" s="134"/>
      <c r="DPJ831" s="134"/>
      <c r="DPK831" s="134"/>
      <c r="DPL831" s="134"/>
      <c r="DPM831" s="134"/>
      <c r="DPN831" s="134"/>
      <c r="DPO831" s="134"/>
      <c r="DPP831" s="134"/>
      <c r="DPQ831" s="134"/>
      <c r="DPR831" s="134"/>
      <c r="DPS831" s="134"/>
      <c r="DPT831" s="134"/>
      <c r="DPU831" s="134"/>
      <c r="DPV831" s="134"/>
      <c r="DPW831" s="134"/>
      <c r="DPX831" s="134"/>
      <c r="DPY831" s="134"/>
      <c r="DPZ831" s="134"/>
      <c r="DQA831" s="134"/>
      <c r="DQB831" s="134"/>
      <c r="DQC831" s="134"/>
      <c r="DQD831" s="134"/>
      <c r="DQE831" s="134"/>
      <c r="DQF831" s="134"/>
      <c r="DQG831" s="134"/>
      <c r="DQH831" s="134"/>
      <c r="DQI831" s="134"/>
      <c r="DQJ831" s="134"/>
      <c r="DQK831" s="134"/>
      <c r="DQL831" s="134"/>
      <c r="DQM831" s="134"/>
      <c r="DQN831" s="134"/>
      <c r="DQO831" s="134"/>
      <c r="DQP831" s="134"/>
      <c r="DQQ831" s="134"/>
      <c r="DQR831" s="134"/>
      <c r="DQS831" s="134"/>
      <c r="DQT831" s="134"/>
      <c r="DQU831" s="134"/>
      <c r="DQV831" s="134"/>
      <c r="DQW831" s="134"/>
      <c r="DQX831" s="134"/>
      <c r="DQY831" s="134"/>
      <c r="DQZ831" s="134"/>
      <c r="DRA831" s="134"/>
      <c r="DRB831" s="134"/>
      <c r="DRC831" s="134"/>
      <c r="DRD831" s="134"/>
      <c r="DRE831" s="134"/>
      <c r="DRF831" s="134"/>
      <c r="DRG831" s="134"/>
      <c r="DRH831" s="134"/>
      <c r="DRI831" s="134"/>
      <c r="DRJ831" s="134"/>
      <c r="DRK831" s="134"/>
      <c r="DRL831" s="134"/>
      <c r="DRM831" s="134"/>
      <c r="DRN831" s="134"/>
      <c r="DRO831" s="134"/>
      <c r="DRP831" s="134"/>
      <c r="DRQ831" s="134"/>
      <c r="DRR831" s="134"/>
      <c r="DRS831" s="134"/>
      <c r="DRT831" s="134"/>
      <c r="DRU831" s="134"/>
      <c r="DRV831" s="134"/>
      <c r="DRW831" s="134"/>
      <c r="DRX831" s="134"/>
      <c r="DRY831" s="134"/>
      <c r="DRZ831" s="134"/>
      <c r="DSA831" s="134"/>
      <c r="DSB831" s="134"/>
      <c r="DSC831" s="134"/>
      <c r="DSD831" s="134"/>
      <c r="DSE831" s="134"/>
      <c r="DSF831" s="134"/>
      <c r="DSG831" s="134"/>
      <c r="DSH831" s="134"/>
      <c r="DSI831" s="134"/>
      <c r="DSJ831" s="134"/>
      <c r="DSK831" s="134"/>
      <c r="DSL831" s="134"/>
      <c r="DSM831" s="134"/>
      <c r="DSN831" s="134"/>
      <c r="DSO831" s="134"/>
      <c r="DSP831" s="134"/>
      <c r="DSQ831" s="134"/>
      <c r="DSR831" s="134"/>
      <c r="DSS831" s="134"/>
      <c r="DST831" s="134"/>
      <c r="DSU831" s="134"/>
      <c r="DSV831" s="134"/>
      <c r="DSW831" s="134"/>
      <c r="DSX831" s="134"/>
      <c r="DSY831" s="134"/>
      <c r="DSZ831" s="134"/>
      <c r="DTA831" s="134"/>
      <c r="DTB831" s="134"/>
      <c r="DTC831" s="134"/>
      <c r="DTD831" s="134"/>
      <c r="DTE831" s="134"/>
      <c r="DTF831" s="134"/>
      <c r="DTG831" s="134"/>
      <c r="DTH831" s="134"/>
      <c r="DTI831" s="134"/>
      <c r="DTJ831" s="134"/>
      <c r="DTK831" s="134"/>
      <c r="DTL831" s="134"/>
      <c r="DTM831" s="134"/>
      <c r="DTN831" s="134"/>
      <c r="DTO831" s="134"/>
      <c r="DTP831" s="134"/>
      <c r="DTQ831" s="134"/>
      <c r="DTR831" s="134"/>
      <c r="DTS831" s="134"/>
      <c r="DTT831" s="134"/>
      <c r="DTU831" s="134"/>
      <c r="DTV831" s="134"/>
      <c r="DTW831" s="134"/>
      <c r="DTX831" s="134"/>
      <c r="DTY831" s="134"/>
      <c r="DTZ831" s="134"/>
      <c r="DUA831" s="134"/>
      <c r="DUB831" s="134"/>
      <c r="DUC831" s="134"/>
      <c r="DUD831" s="134"/>
      <c r="DUE831" s="134"/>
      <c r="DUF831" s="134"/>
      <c r="DUG831" s="134"/>
      <c r="DUH831" s="134"/>
      <c r="DUI831" s="134"/>
      <c r="DUJ831" s="134"/>
      <c r="DUK831" s="134"/>
      <c r="DUL831" s="134"/>
      <c r="DUM831" s="134"/>
      <c r="DUN831" s="134"/>
      <c r="DUO831" s="134"/>
      <c r="DUP831" s="134"/>
      <c r="DUQ831" s="134"/>
      <c r="DUR831" s="134"/>
      <c r="DUS831" s="134"/>
      <c r="DUT831" s="134"/>
      <c r="DUU831" s="134"/>
      <c r="DUV831" s="134"/>
      <c r="DUW831" s="134"/>
      <c r="DUX831" s="134"/>
      <c r="DUY831" s="134"/>
      <c r="DUZ831" s="134"/>
      <c r="DVA831" s="134"/>
      <c r="DVB831" s="134"/>
      <c r="DVC831" s="134"/>
      <c r="DVD831" s="134"/>
      <c r="DVE831" s="134"/>
      <c r="DVF831" s="134"/>
      <c r="DVG831" s="134"/>
      <c r="DVH831" s="134"/>
      <c r="DVI831" s="134"/>
      <c r="DVJ831" s="134"/>
      <c r="DVK831" s="134"/>
      <c r="DVL831" s="134"/>
      <c r="DVM831" s="134"/>
      <c r="DVN831" s="134"/>
      <c r="DVO831" s="134"/>
      <c r="DVP831" s="134"/>
      <c r="DVQ831" s="134"/>
      <c r="DVR831" s="134"/>
      <c r="DVS831" s="134"/>
      <c r="DVT831" s="134"/>
      <c r="DVU831" s="134"/>
      <c r="DVV831" s="134"/>
      <c r="DVW831" s="134"/>
      <c r="DVX831" s="134"/>
      <c r="DVY831" s="134"/>
      <c r="DVZ831" s="134"/>
      <c r="DWA831" s="134"/>
      <c r="DWB831" s="134"/>
      <c r="DWC831" s="134"/>
      <c r="DWD831" s="134"/>
      <c r="DWE831" s="134"/>
      <c r="DWF831" s="134"/>
      <c r="DWG831" s="134"/>
      <c r="DWH831" s="134"/>
      <c r="DWI831" s="134"/>
      <c r="DWJ831" s="134"/>
      <c r="DWK831" s="134"/>
      <c r="DWL831" s="134"/>
      <c r="DWM831" s="134"/>
      <c r="DWN831" s="134"/>
      <c r="DWO831" s="134"/>
      <c r="DWP831" s="134"/>
      <c r="DWQ831" s="134"/>
      <c r="DWR831" s="134"/>
      <c r="DWS831" s="134"/>
      <c r="DWT831" s="134"/>
      <c r="DWU831" s="134"/>
      <c r="DWV831" s="134"/>
      <c r="DWW831" s="134"/>
      <c r="DWX831" s="134"/>
      <c r="DWY831" s="134"/>
      <c r="DWZ831" s="134"/>
      <c r="DXA831" s="134"/>
      <c r="DXB831" s="134"/>
      <c r="DXC831" s="134"/>
      <c r="DXD831" s="134"/>
      <c r="DXE831" s="134"/>
      <c r="DXF831" s="134"/>
      <c r="DXG831" s="134"/>
      <c r="DXH831" s="134"/>
      <c r="DXI831" s="134"/>
      <c r="DXJ831" s="134"/>
      <c r="DXK831" s="134"/>
      <c r="DXL831" s="134"/>
      <c r="DXM831" s="134"/>
      <c r="DXN831" s="134"/>
      <c r="DXO831" s="134"/>
      <c r="DXP831" s="134"/>
      <c r="DXQ831" s="134"/>
      <c r="DXR831" s="134"/>
      <c r="DXS831" s="134"/>
      <c r="DXT831" s="134"/>
      <c r="DXU831" s="134"/>
      <c r="DXV831" s="134"/>
      <c r="DXW831" s="134"/>
      <c r="DXX831" s="134"/>
      <c r="DXY831" s="134"/>
      <c r="DXZ831" s="134"/>
      <c r="DYA831" s="134"/>
      <c r="DYB831" s="134"/>
      <c r="DYC831" s="134"/>
      <c r="DYD831" s="134"/>
      <c r="DYE831" s="134"/>
      <c r="DYF831" s="134"/>
      <c r="DYG831" s="134"/>
      <c r="DYH831" s="134"/>
      <c r="DYI831" s="134"/>
      <c r="DYJ831" s="134"/>
      <c r="DYK831" s="134"/>
      <c r="DYL831" s="134"/>
      <c r="DYM831" s="134"/>
      <c r="DYN831" s="134"/>
      <c r="DYO831" s="134"/>
      <c r="DYP831" s="134"/>
      <c r="DYQ831" s="134"/>
      <c r="DYR831" s="134"/>
      <c r="DYS831" s="134"/>
      <c r="DYT831" s="134"/>
      <c r="DYU831" s="134"/>
      <c r="DYV831" s="134"/>
      <c r="DYW831" s="134"/>
      <c r="DYX831" s="134"/>
      <c r="DYY831" s="134"/>
      <c r="DYZ831" s="134"/>
      <c r="DZA831" s="134"/>
      <c r="DZB831" s="134"/>
      <c r="DZC831" s="134"/>
      <c r="DZD831" s="134"/>
      <c r="DZE831" s="134"/>
      <c r="DZF831" s="134"/>
      <c r="DZG831" s="134"/>
      <c r="DZH831" s="134"/>
      <c r="DZI831" s="134"/>
      <c r="DZJ831" s="134"/>
      <c r="DZK831" s="134"/>
      <c r="DZL831" s="134"/>
      <c r="DZM831" s="134"/>
      <c r="DZN831" s="134"/>
      <c r="DZO831" s="134"/>
      <c r="DZP831" s="134"/>
      <c r="DZQ831" s="134"/>
      <c r="DZR831" s="134"/>
      <c r="DZS831" s="134"/>
      <c r="DZT831" s="134"/>
      <c r="DZU831" s="134"/>
      <c r="DZV831" s="134"/>
      <c r="DZW831" s="134"/>
      <c r="DZX831" s="134"/>
      <c r="DZY831" s="134"/>
      <c r="DZZ831" s="134"/>
      <c r="EAA831" s="134"/>
      <c r="EAB831" s="134"/>
      <c r="EAC831" s="134"/>
      <c r="EAD831" s="134"/>
      <c r="EAE831" s="134"/>
      <c r="EAF831" s="134"/>
      <c r="EAG831" s="134"/>
      <c r="EAH831" s="134"/>
      <c r="EAI831" s="134"/>
      <c r="EAJ831" s="134"/>
      <c r="EAK831" s="134"/>
      <c r="EAL831" s="134"/>
      <c r="EAM831" s="134"/>
      <c r="EAN831" s="134"/>
      <c r="EAO831" s="134"/>
      <c r="EAP831" s="134"/>
      <c r="EAQ831" s="134"/>
      <c r="EAR831" s="134"/>
      <c r="EAS831" s="134"/>
      <c r="EAT831" s="134"/>
      <c r="EAU831" s="134"/>
      <c r="EAV831" s="134"/>
      <c r="EAW831" s="134"/>
      <c r="EAX831" s="134"/>
    </row>
    <row r="832" spans="1:3431" s="6" customFormat="1" x14ac:dyDescent="0.2">
      <c r="B832" s="18" t="s">
        <v>214</v>
      </c>
      <c r="C832" s="85">
        <f>C796+C807+C820</f>
        <v>84</v>
      </c>
      <c r="D832" s="48"/>
      <c r="E832" s="48">
        <f>E796+E807+E820</f>
        <v>4878537</v>
      </c>
      <c r="F832" s="48"/>
      <c r="G832" s="48">
        <f>G796+G807+G820</f>
        <v>510851</v>
      </c>
      <c r="H832" s="48"/>
      <c r="I832" s="143"/>
      <c r="J832" s="48"/>
      <c r="K832" s="48">
        <f>K796+K807+K820</f>
        <v>3338252.0041200006</v>
      </c>
      <c r="L832" s="48"/>
      <c r="M832" s="48">
        <f>M796+M807+M820</f>
        <v>8727640.0041199997</v>
      </c>
      <c r="N832" s="48">
        <v>169000</v>
      </c>
      <c r="O832" s="146">
        <f>M832+N832</f>
        <v>8896640.0041199997</v>
      </c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  <c r="AR832" s="134"/>
      <c r="AS832" s="134"/>
      <c r="AT832" s="134"/>
      <c r="AU832" s="134"/>
      <c r="AV832" s="134"/>
      <c r="AW832" s="134"/>
      <c r="AX832" s="134"/>
      <c r="AY832" s="134"/>
      <c r="AZ832" s="134"/>
      <c r="BA832" s="134"/>
      <c r="BB832" s="134"/>
      <c r="BC832" s="134"/>
      <c r="BD832" s="134"/>
      <c r="BE832" s="134"/>
      <c r="BF832" s="134"/>
      <c r="BG832" s="134"/>
      <c r="BH832" s="134"/>
      <c r="BI832" s="134"/>
      <c r="BJ832" s="134"/>
      <c r="BK832" s="134"/>
      <c r="BL832" s="134"/>
      <c r="BM832" s="134"/>
      <c r="BN832" s="134"/>
      <c r="BO832" s="134"/>
      <c r="BP832" s="134"/>
      <c r="BQ832" s="134"/>
      <c r="BR832" s="134"/>
      <c r="BS832" s="134"/>
      <c r="BT832" s="134"/>
      <c r="BU832" s="134"/>
      <c r="BV832" s="134"/>
      <c r="BW832" s="134"/>
      <c r="BX832" s="134"/>
      <c r="BY832" s="134"/>
      <c r="BZ832" s="134"/>
      <c r="CA832" s="134"/>
      <c r="CB832" s="134"/>
      <c r="CC832" s="134"/>
      <c r="CD832" s="134"/>
      <c r="CE832" s="134"/>
      <c r="CF832" s="134"/>
      <c r="CG832" s="134"/>
      <c r="CH832" s="134"/>
      <c r="CI832" s="134"/>
      <c r="CJ832" s="134"/>
      <c r="CK832" s="134"/>
      <c r="CL832" s="134"/>
      <c r="CM832" s="134"/>
      <c r="CN832" s="134"/>
      <c r="CO832" s="134"/>
      <c r="CP832" s="134"/>
      <c r="CQ832" s="134"/>
      <c r="CR832" s="134"/>
      <c r="CS832" s="134"/>
      <c r="CT832" s="134"/>
      <c r="CU832" s="134"/>
      <c r="CV832" s="134"/>
      <c r="CW832" s="134"/>
      <c r="CX832" s="134"/>
      <c r="CY832" s="134"/>
      <c r="CZ832" s="134"/>
      <c r="DA832" s="134"/>
      <c r="DB832" s="134"/>
      <c r="DC832" s="134"/>
      <c r="DD832" s="134"/>
      <c r="DE832" s="134"/>
      <c r="DF832" s="134"/>
      <c r="DG832" s="134"/>
      <c r="DH832" s="134"/>
      <c r="DI832" s="134"/>
      <c r="DJ832" s="134"/>
      <c r="DK832" s="134"/>
      <c r="DL832" s="134"/>
      <c r="DM832" s="134"/>
      <c r="DN832" s="134"/>
      <c r="DO832" s="134"/>
      <c r="DP832" s="134"/>
      <c r="DQ832" s="134"/>
      <c r="DR832" s="134"/>
      <c r="DS832" s="134"/>
      <c r="DT832" s="134"/>
      <c r="DU832" s="134"/>
      <c r="DV832" s="134"/>
      <c r="DW832" s="134"/>
      <c r="DX832" s="134"/>
      <c r="DY832" s="134"/>
      <c r="DZ832" s="134"/>
      <c r="EA832" s="134"/>
      <c r="EB832" s="134"/>
      <c r="EC832" s="134"/>
      <c r="ED832" s="134"/>
      <c r="EE832" s="134"/>
      <c r="EF832" s="134"/>
      <c r="EG832" s="134"/>
      <c r="EH832" s="134"/>
      <c r="EI832" s="134"/>
      <c r="EJ832" s="134"/>
      <c r="EK832" s="134"/>
      <c r="EL832" s="134"/>
      <c r="EM832" s="134"/>
      <c r="EN832" s="134"/>
      <c r="EO832" s="134"/>
      <c r="EP832" s="134"/>
      <c r="EQ832" s="134"/>
      <c r="ER832" s="134"/>
      <c r="ES832" s="134"/>
      <c r="ET832" s="134"/>
      <c r="EU832" s="134"/>
      <c r="EV832" s="134"/>
      <c r="EW832" s="134"/>
      <c r="EX832" s="134"/>
      <c r="EY832" s="134"/>
      <c r="EZ832" s="134"/>
      <c r="FA832" s="134"/>
      <c r="FB832" s="134"/>
      <c r="FC832" s="134"/>
      <c r="FD832" s="134"/>
      <c r="FE832" s="134"/>
      <c r="FF832" s="134"/>
      <c r="FG832" s="134"/>
      <c r="FH832" s="134"/>
      <c r="FI832" s="134"/>
      <c r="FJ832" s="134"/>
      <c r="FK832" s="134"/>
      <c r="FL832" s="134"/>
      <c r="FM832" s="134"/>
      <c r="FN832" s="134"/>
      <c r="FO832" s="134"/>
      <c r="FP832" s="134"/>
      <c r="FQ832" s="134"/>
      <c r="FR832" s="134"/>
      <c r="FS832" s="134"/>
      <c r="FT832" s="134"/>
      <c r="FU832" s="134"/>
      <c r="FV832" s="134"/>
      <c r="FW832" s="134"/>
      <c r="FX832" s="134"/>
      <c r="FY832" s="134"/>
      <c r="FZ832" s="134"/>
      <c r="GA832" s="134"/>
      <c r="GB832" s="134"/>
      <c r="GC832" s="134"/>
      <c r="GD832" s="134"/>
      <c r="GE832" s="134"/>
      <c r="GF832" s="134"/>
      <c r="GG832" s="134"/>
      <c r="GH832" s="134"/>
      <c r="GI832" s="134"/>
      <c r="GJ832" s="134"/>
      <c r="GK832" s="134"/>
      <c r="GL832" s="134"/>
      <c r="GM832" s="134"/>
      <c r="GN832" s="134"/>
      <c r="GO832" s="134"/>
      <c r="GP832" s="134"/>
      <c r="GQ832" s="134"/>
      <c r="GR832" s="134"/>
      <c r="GS832" s="134"/>
      <c r="GT832" s="134"/>
      <c r="GU832" s="134"/>
      <c r="GV832" s="134"/>
      <c r="GW832" s="134"/>
      <c r="GX832" s="134"/>
      <c r="GY832" s="134"/>
      <c r="GZ832" s="134"/>
      <c r="HA832" s="134"/>
      <c r="HB832" s="134"/>
      <c r="HC832" s="134"/>
      <c r="HD832" s="134"/>
      <c r="HE832" s="134"/>
      <c r="HF832" s="134"/>
      <c r="HG832" s="134"/>
      <c r="HH832" s="134"/>
      <c r="HI832" s="134"/>
      <c r="HJ832" s="134"/>
      <c r="HK832" s="134"/>
      <c r="HL832" s="134"/>
      <c r="HM832" s="134"/>
      <c r="HN832" s="134"/>
      <c r="HO832" s="134"/>
      <c r="HP832" s="134"/>
      <c r="HQ832" s="134"/>
      <c r="HR832" s="134"/>
      <c r="HS832" s="134"/>
      <c r="HT832" s="134"/>
      <c r="HU832" s="134"/>
      <c r="HV832" s="134"/>
      <c r="HW832" s="134"/>
      <c r="HX832" s="134"/>
      <c r="HY832" s="134"/>
      <c r="HZ832" s="134"/>
      <c r="IA832" s="134"/>
      <c r="IB832" s="134"/>
      <c r="IC832" s="134"/>
      <c r="ID832" s="134"/>
      <c r="IE832" s="134"/>
      <c r="IF832" s="134"/>
      <c r="IG832" s="134"/>
      <c r="IH832" s="134"/>
      <c r="II832" s="134"/>
      <c r="IJ832" s="134"/>
      <c r="IK832" s="134"/>
      <c r="IL832" s="134"/>
      <c r="IM832" s="134"/>
      <c r="IN832" s="134"/>
      <c r="IO832" s="134"/>
      <c r="IP832" s="134"/>
      <c r="IQ832" s="134"/>
      <c r="IR832" s="134"/>
      <c r="IS832" s="134"/>
      <c r="IT832" s="134"/>
      <c r="IU832" s="134"/>
      <c r="IV832" s="134"/>
      <c r="IW832" s="134"/>
      <c r="IX832" s="134"/>
      <c r="IY832" s="134"/>
      <c r="IZ832" s="134"/>
      <c r="JA832" s="134"/>
      <c r="JB832" s="134"/>
      <c r="JC832" s="134"/>
      <c r="JD832" s="134"/>
      <c r="JE832" s="134"/>
      <c r="JF832" s="134"/>
      <c r="JG832" s="134"/>
      <c r="JH832" s="134"/>
      <c r="JI832" s="134"/>
      <c r="JJ832" s="134"/>
      <c r="JK832" s="134"/>
      <c r="JL832" s="134"/>
      <c r="JM832" s="134"/>
      <c r="JN832" s="134"/>
      <c r="JO832" s="134"/>
      <c r="JP832" s="134"/>
      <c r="JQ832" s="134"/>
      <c r="JR832" s="134"/>
      <c r="JS832" s="134"/>
      <c r="JT832" s="134"/>
      <c r="JU832" s="134"/>
      <c r="JV832" s="134"/>
      <c r="JW832" s="134"/>
      <c r="JX832" s="134"/>
      <c r="JY832" s="134"/>
      <c r="JZ832" s="134"/>
      <c r="KA832" s="134"/>
      <c r="KB832" s="134"/>
      <c r="KC832" s="134"/>
      <c r="KD832" s="134"/>
      <c r="KE832" s="134"/>
      <c r="KF832" s="134"/>
      <c r="KG832" s="134"/>
      <c r="KH832" s="134"/>
      <c r="KI832" s="134"/>
      <c r="KJ832" s="134"/>
      <c r="KK832" s="134"/>
      <c r="KL832" s="134"/>
      <c r="KM832" s="134"/>
      <c r="KN832" s="134"/>
      <c r="KO832" s="134"/>
      <c r="KP832" s="134"/>
      <c r="KQ832" s="134"/>
      <c r="KR832" s="134"/>
      <c r="KS832" s="134"/>
      <c r="KT832" s="134"/>
      <c r="KU832" s="134"/>
      <c r="KV832" s="134"/>
      <c r="KW832" s="134"/>
      <c r="KX832" s="134"/>
      <c r="KY832" s="134"/>
      <c r="KZ832" s="134"/>
      <c r="LA832" s="134"/>
      <c r="LB832" s="134"/>
      <c r="LC832" s="134"/>
      <c r="LD832" s="134"/>
      <c r="LE832" s="134"/>
      <c r="LF832" s="134"/>
      <c r="LG832" s="134"/>
      <c r="LH832" s="134"/>
      <c r="LI832" s="134"/>
      <c r="LJ832" s="134"/>
      <c r="LK832" s="134"/>
      <c r="LL832" s="134"/>
      <c r="LM832" s="134"/>
      <c r="LN832" s="134"/>
      <c r="LO832" s="134"/>
      <c r="LP832" s="134"/>
      <c r="LQ832" s="134"/>
      <c r="LR832" s="134"/>
      <c r="LS832" s="134"/>
      <c r="LT832" s="134"/>
      <c r="LU832" s="134"/>
      <c r="LV832" s="134"/>
      <c r="LW832" s="134"/>
      <c r="LX832" s="134"/>
      <c r="LY832" s="134"/>
      <c r="LZ832" s="134"/>
      <c r="MA832" s="134"/>
      <c r="MB832" s="134"/>
      <c r="MC832" s="134"/>
      <c r="MD832" s="134"/>
      <c r="ME832" s="134"/>
      <c r="MF832" s="134"/>
      <c r="MG832" s="134"/>
      <c r="MH832" s="134"/>
      <c r="MI832" s="134"/>
      <c r="MJ832" s="134"/>
      <c r="MK832" s="134"/>
      <c r="ML832" s="134"/>
      <c r="MM832" s="134"/>
      <c r="MN832" s="134"/>
      <c r="MO832" s="134"/>
      <c r="MP832" s="134"/>
      <c r="MQ832" s="134"/>
      <c r="MR832" s="134"/>
      <c r="MS832" s="134"/>
      <c r="MT832" s="134"/>
      <c r="MU832" s="134"/>
      <c r="MV832" s="134"/>
      <c r="MW832" s="134"/>
      <c r="MX832" s="134"/>
      <c r="MY832" s="134"/>
      <c r="MZ832" s="134"/>
      <c r="NA832" s="134"/>
      <c r="NB832" s="134"/>
      <c r="NC832" s="134"/>
      <c r="ND832" s="134"/>
      <c r="NE832" s="134"/>
      <c r="NF832" s="134"/>
      <c r="NG832" s="134"/>
      <c r="NH832" s="134"/>
      <c r="NI832" s="134"/>
      <c r="NJ832" s="134"/>
      <c r="NK832" s="134"/>
      <c r="NL832" s="134"/>
      <c r="NM832" s="134"/>
      <c r="NN832" s="134"/>
      <c r="NO832" s="134"/>
      <c r="NP832" s="134"/>
      <c r="NQ832" s="134"/>
      <c r="NR832" s="134"/>
      <c r="NS832" s="134"/>
      <c r="NT832" s="134"/>
      <c r="NU832" s="134"/>
      <c r="NV832" s="134"/>
      <c r="NW832" s="134"/>
      <c r="NX832" s="134"/>
      <c r="NY832" s="134"/>
      <c r="NZ832" s="134"/>
      <c r="OA832" s="134"/>
      <c r="OB832" s="134"/>
      <c r="OC832" s="134"/>
      <c r="OD832" s="134"/>
      <c r="OE832" s="134"/>
      <c r="OF832" s="134"/>
      <c r="OG832" s="134"/>
      <c r="OH832" s="134"/>
      <c r="OI832" s="134"/>
      <c r="OJ832" s="134"/>
      <c r="OK832" s="134"/>
      <c r="OL832" s="134"/>
      <c r="OM832" s="134"/>
      <c r="ON832" s="134"/>
      <c r="OO832" s="134"/>
      <c r="OP832" s="134"/>
      <c r="OQ832" s="134"/>
      <c r="OR832" s="134"/>
      <c r="OS832" s="134"/>
      <c r="OT832" s="134"/>
      <c r="OU832" s="134"/>
      <c r="OV832" s="134"/>
      <c r="OW832" s="134"/>
      <c r="OX832" s="134"/>
      <c r="OY832" s="134"/>
      <c r="OZ832" s="134"/>
      <c r="PA832" s="134"/>
      <c r="PB832" s="134"/>
      <c r="PC832" s="134"/>
      <c r="PD832" s="134"/>
      <c r="PE832" s="134"/>
      <c r="PF832" s="134"/>
      <c r="PG832" s="134"/>
      <c r="PH832" s="134"/>
      <c r="PI832" s="134"/>
      <c r="PJ832" s="134"/>
      <c r="PK832" s="134"/>
      <c r="PL832" s="134"/>
      <c r="PM832" s="134"/>
      <c r="PN832" s="134"/>
      <c r="PO832" s="134"/>
      <c r="PP832" s="134"/>
      <c r="PQ832" s="134"/>
      <c r="PR832" s="134"/>
      <c r="PS832" s="134"/>
      <c r="PT832" s="134"/>
      <c r="PU832" s="134"/>
      <c r="PV832" s="134"/>
      <c r="PW832" s="134"/>
      <c r="PX832" s="134"/>
      <c r="PY832" s="134"/>
      <c r="PZ832" s="134"/>
      <c r="QA832" s="134"/>
      <c r="QB832" s="134"/>
      <c r="QC832" s="134"/>
      <c r="QD832" s="134"/>
      <c r="QE832" s="134"/>
      <c r="QF832" s="134"/>
      <c r="QG832" s="134"/>
      <c r="QH832" s="134"/>
      <c r="QI832" s="134"/>
      <c r="QJ832" s="134"/>
      <c r="QK832" s="134"/>
      <c r="QL832" s="134"/>
      <c r="QM832" s="134"/>
      <c r="QN832" s="134"/>
      <c r="QO832" s="134"/>
      <c r="QP832" s="134"/>
      <c r="QQ832" s="134"/>
      <c r="QR832" s="134"/>
      <c r="QS832" s="134"/>
      <c r="QT832" s="134"/>
      <c r="QU832" s="134"/>
      <c r="QV832" s="134"/>
      <c r="QW832" s="134"/>
      <c r="QX832" s="134"/>
      <c r="QY832" s="134"/>
      <c r="QZ832" s="134"/>
      <c r="RA832" s="134"/>
      <c r="RB832" s="134"/>
      <c r="RC832" s="134"/>
      <c r="RD832" s="134"/>
      <c r="RE832" s="134"/>
      <c r="RF832" s="134"/>
      <c r="RG832" s="134"/>
      <c r="RH832" s="134"/>
      <c r="RI832" s="134"/>
      <c r="RJ832" s="134"/>
      <c r="RK832" s="134"/>
      <c r="RL832" s="134"/>
      <c r="RM832" s="134"/>
      <c r="RN832" s="134"/>
      <c r="RO832" s="134"/>
      <c r="RP832" s="134"/>
      <c r="RQ832" s="134"/>
      <c r="RR832" s="134"/>
      <c r="RS832" s="134"/>
      <c r="RT832" s="134"/>
      <c r="RU832" s="134"/>
      <c r="RV832" s="134"/>
      <c r="RW832" s="134"/>
      <c r="RX832" s="134"/>
      <c r="RY832" s="134"/>
      <c r="RZ832" s="134"/>
      <c r="SA832" s="134"/>
      <c r="SB832" s="134"/>
      <c r="SC832" s="134"/>
      <c r="SD832" s="134"/>
      <c r="SE832" s="134"/>
      <c r="SF832" s="134"/>
      <c r="SG832" s="134"/>
      <c r="SH832" s="134"/>
      <c r="SI832" s="134"/>
      <c r="SJ832" s="134"/>
      <c r="SK832" s="134"/>
      <c r="SL832" s="134"/>
      <c r="SM832" s="134"/>
      <c r="SN832" s="134"/>
      <c r="SO832" s="134"/>
      <c r="SP832" s="134"/>
      <c r="SQ832" s="134"/>
      <c r="SR832" s="134"/>
      <c r="SS832" s="134"/>
      <c r="ST832" s="134"/>
      <c r="SU832" s="134"/>
      <c r="SV832" s="134"/>
      <c r="SW832" s="134"/>
      <c r="SX832" s="134"/>
      <c r="SY832" s="134"/>
      <c r="SZ832" s="134"/>
      <c r="TA832" s="134"/>
      <c r="TB832" s="134"/>
      <c r="TC832" s="134"/>
      <c r="TD832" s="134"/>
      <c r="TE832" s="134"/>
      <c r="TF832" s="134"/>
      <c r="TG832" s="134"/>
      <c r="TH832" s="134"/>
      <c r="TI832" s="134"/>
      <c r="TJ832" s="134"/>
      <c r="TK832" s="134"/>
      <c r="TL832" s="134"/>
      <c r="TM832" s="134"/>
      <c r="TN832" s="134"/>
      <c r="TO832" s="134"/>
      <c r="TP832" s="134"/>
      <c r="TQ832" s="134"/>
      <c r="TR832" s="134"/>
      <c r="TS832" s="134"/>
      <c r="TT832" s="134"/>
      <c r="TU832" s="134"/>
      <c r="TV832" s="134"/>
      <c r="TW832" s="134"/>
      <c r="TX832" s="134"/>
      <c r="TY832" s="134"/>
      <c r="TZ832" s="134"/>
      <c r="UA832" s="134"/>
      <c r="UB832" s="134"/>
      <c r="UC832" s="134"/>
      <c r="UD832" s="134"/>
      <c r="UE832" s="134"/>
      <c r="UF832" s="134"/>
      <c r="UG832" s="134"/>
      <c r="UH832" s="134"/>
      <c r="UI832" s="134"/>
      <c r="UJ832" s="134"/>
      <c r="UK832" s="134"/>
      <c r="UL832" s="134"/>
      <c r="UM832" s="134"/>
      <c r="UN832" s="134"/>
      <c r="UO832" s="134"/>
      <c r="UP832" s="134"/>
      <c r="UQ832" s="134"/>
      <c r="UR832" s="134"/>
      <c r="US832" s="134"/>
      <c r="UT832" s="134"/>
      <c r="UU832" s="134"/>
      <c r="UV832" s="134"/>
      <c r="UW832" s="134"/>
      <c r="UX832" s="134"/>
      <c r="UY832" s="134"/>
      <c r="UZ832" s="134"/>
      <c r="VA832" s="134"/>
      <c r="VB832" s="134"/>
      <c r="VC832" s="134"/>
      <c r="VD832" s="134"/>
      <c r="VE832" s="134"/>
      <c r="VF832" s="134"/>
      <c r="VG832" s="134"/>
      <c r="VH832" s="134"/>
      <c r="VI832" s="134"/>
      <c r="VJ832" s="134"/>
      <c r="VK832" s="134"/>
      <c r="VL832" s="134"/>
      <c r="VM832" s="134"/>
      <c r="VN832" s="134"/>
      <c r="VO832" s="134"/>
      <c r="VP832" s="134"/>
      <c r="VQ832" s="134"/>
      <c r="VR832" s="134"/>
      <c r="VS832" s="134"/>
      <c r="VT832" s="134"/>
      <c r="VU832" s="134"/>
      <c r="VV832" s="134"/>
      <c r="VW832" s="134"/>
      <c r="VX832" s="134"/>
      <c r="VY832" s="134"/>
      <c r="VZ832" s="134"/>
      <c r="WA832" s="134"/>
      <c r="WB832" s="134"/>
      <c r="WC832" s="134"/>
      <c r="WD832" s="134"/>
      <c r="WE832" s="134"/>
      <c r="WF832" s="134"/>
      <c r="WG832" s="134"/>
      <c r="WH832" s="134"/>
      <c r="WI832" s="134"/>
      <c r="WJ832" s="134"/>
      <c r="WK832" s="134"/>
      <c r="WL832" s="134"/>
      <c r="WM832" s="134"/>
      <c r="WN832" s="134"/>
      <c r="WO832" s="134"/>
      <c r="WP832" s="134"/>
      <c r="WQ832" s="134"/>
      <c r="WR832" s="134"/>
      <c r="WS832" s="134"/>
      <c r="WT832" s="134"/>
      <c r="WU832" s="134"/>
      <c r="WV832" s="134"/>
      <c r="WW832" s="134"/>
      <c r="WX832" s="134"/>
      <c r="WY832" s="134"/>
      <c r="WZ832" s="134"/>
      <c r="XA832" s="134"/>
      <c r="XB832" s="134"/>
      <c r="XC832" s="134"/>
      <c r="XD832" s="134"/>
      <c r="XE832" s="134"/>
      <c r="XF832" s="134"/>
      <c r="XG832" s="134"/>
      <c r="XH832" s="134"/>
      <c r="XI832" s="134"/>
      <c r="XJ832" s="134"/>
      <c r="XK832" s="134"/>
      <c r="XL832" s="134"/>
      <c r="XM832" s="134"/>
      <c r="XN832" s="134"/>
      <c r="XO832" s="134"/>
      <c r="XP832" s="134"/>
      <c r="XQ832" s="134"/>
      <c r="XR832" s="134"/>
      <c r="XS832" s="134"/>
      <c r="XT832" s="134"/>
      <c r="XU832" s="134"/>
      <c r="XV832" s="134"/>
      <c r="XW832" s="134"/>
      <c r="XX832" s="134"/>
      <c r="XY832" s="134"/>
      <c r="XZ832" s="134"/>
      <c r="YA832" s="134"/>
      <c r="YB832" s="134"/>
      <c r="YC832" s="134"/>
      <c r="YD832" s="134"/>
      <c r="YE832" s="134"/>
      <c r="YF832" s="134"/>
      <c r="YG832" s="134"/>
      <c r="YH832" s="134"/>
      <c r="YI832" s="134"/>
      <c r="YJ832" s="134"/>
      <c r="YK832" s="134"/>
      <c r="YL832" s="134"/>
      <c r="YM832" s="134"/>
      <c r="YN832" s="134"/>
      <c r="YO832" s="134"/>
      <c r="YP832" s="134"/>
      <c r="YQ832" s="134"/>
      <c r="YR832" s="134"/>
      <c r="YS832" s="134"/>
      <c r="YT832" s="134"/>
      <c r="YU832" s="134"/>
      <c r="YV832" s="134"/>
      <c r="YW832" s="134"/>
      <c r="YX832" s="134"/>
      <c r="YY832" s="134"/>
      <c r="YZ832" s="134"/>
      <c r="ZA832" s="134"/>
      <c r="ZB832" s="134"/>
      <c r="ZC832" s="134"/>
      <c r="ZD832" s="134"/>
      <c r="ZE832" s="134"/>
      <c r="ZF832" s="134"/>
      <c r="ZG832" s="134"/>
      <c r="ZH832" s="134"/>
      <c r="ZI832" s="134"/>
      <c r="ZJ832" s="134"/>
      <c r="ZK832" s="134"/>
      <c r="ZL832" s="134"/>
      <c r="ZM832" s="134"/>
      <c r="ZN832" s="134"/>
      <c r="ZO832" s="134"/>
      <c r="ZP832" s="134"/>
      <c r="ZQ832" s="134"/>
      <c r="ZR832" s="134"/>
      <c r="ZS832" s="134"/>
      <c r="ZT832" s="134"/>
      <c r="ZU832" s="134"/>
      <c r="ZV832" s="134"/>
      <c r="ZW832" s="134"/>
      <c r="ZX832" s="134"/>
      <c r="ZY832" s="134"/>
      <c r="ZZ832" s="134"/>
      <c r="AAA832" s="134"/>
      <c r="AAB832" s="134"/>
      <c r="AAC832" s="134"/>
      <c r="AAD832" s="134"/>
      <c r="AAE832" s="134"/>
      <c r="AAF832" s="134"/>
      <c r="AAG832" s="134"/>
      <c r="AAH832" s="134"/>
      <c r="AAI832" s="134"/>
      <c r="AAJ832" s="134"/>
      <c r="AAK832" s="134"/>
      <c r="AAL832" s="134"/>
      <c r="AAM832" s="134"/>
      <c r="AAN832" s="134"/>
      <c r="AAO832" s="134"/>
      <c r="AAP832" s="134"/>
      <c r="AAQ832" s="134"/>
      <c r="AAR832" s="134"/>
      <c r="AAS832" s="134"/>
      <c r="AAT832" s="134"/>
      <c r="AAU832" s="134"/>
      <c r="AAV832" s="134"/>
      <c r="AAW832" s="134"/>
      <c r="AAX832" s="134"/>
      <c r="AAY832" s="134"/>
      <c r="AAZ832" s="134"/>
      <c r="ABA832" s="134"/>
      <c r="ABB832" s="134"/>
      <c r="ABC832" s="134"/>
      <c r="ABD832" s="134"/>
      <c r="ABE832" s="134"/>
      <c r="ABF832" s="134"/>
      <c r="ABG832" s="134"/>
      <c r="ABH832" s="134"/>
      <c r="ABI832" s="134"/>
      <c r="ABJ832" s="134"/>
      <c r="ABK832" s="134"/>
      <c r="ABL832" s="134"/>
      <c r="ABM832" s="134"/>
      <c r="ABN832" s="134"/>
      <c r="ABO832" s="134"/>
      <c r="ABP832" s="134"/>
      <c r="ABQ832" s="134"/>
      <c r="ABR832" s="134"/>
      <c r="ABS832" s="134"/>
      <c r="ABT832" s="134"/>
      <c r="ABU832" s="134"/>
      <c r="ABV832" s="134"/>
      <c r="ABW832" s="134"/>
      <c r="ABX832" s="134"/>
      <c r="ABY832" s="134"/>
      <c r="ABZ832" s="134"/>
      <c r="ACA832" s="134"/>
      <c r="ACB832" s="134"/>
      <c r="ACC832" s="134"/>
      <c r="ACD832" s="134"/>
      <c r="ACE832" s="134"/>
      <c r="ACF832" s="134"/>
      <c r="ACG832" s="134"/>
      <c r="ACH832" s="134"/>
      <c r="ACI832" s="134"/>
      <c r="ACJ832" s="134"/>
      <c r="ACK832" s="134"/>
      <c r="ACL832" s="134"/>
      <c r="ACM832" s="134"/>
      <c r="ACN832" s="134"/>
      <c r="ACO832" s="134"/>
      <c r="ACP832" s="134"/>
      <c r="ACQ832" s="134"/>
      <c r="ACR832" s="134"/>
      <c r="ACS832" s="134"/>
      <c r="ACT832" s="134"/>
      <c r="ACU832" s="134"/>
      <c r="ACV832" s="134"/>
      <c r="ACW832" s="134"/>
      <c r="ACX832" s="134"/>
      <c r="ACY832" s="134"/>
      <c r="ACZ832" s="134"/>
      <c r="ADA832" s="134"/>
      <c r="ADB832" s="134"/>
      <c r="ADC832" s="134"/>
      <c r="ADD832" s="134"/>
      <c r="ADE832" s="134"/>
      <c r="ADF832" s="134"/>
      <c r="ADG832" s="134"/>
      <c r="ADH832" s="134"/>
      <c r="ADI832" s="134"/>
      <c r="ADJ832" s="134"/>
      <c r="ADK832" s="134"/>
      <c r="ADL832" s="134"/>
      <c r="ADM832" s="134"/>
      <c r="ADN832" s="134"/>
      <c r="ADO832" s="134"/>
      <c r="ADP832" s="134"/>
      <c r="ADQ832" s="134"/>
      <c r="ADR832" s="134"/>
      <c r="ADS832" s="134"/>
      <c r="ADT832" s="134"/>
      <c r="ADU832" s="134"/>
      <c r="ADV832" s="134"/>
      <c r="ADW832" s="134"/>
      <c r="ADX832" s="134"/>
      <c r="ADY832" s="134"/>
      <c r="ADZ832" s="134"/>
      <c r="AEA832" s="134"/>
      <c r="AEB832" s="134"/>
      <c r="AEC832" s="134"/>
      <c r="AED832" s="134"/>
      <c r="AEE832" s="134"/>
      <c r="AEF832" s="134"/>
      <c r="AEG832" s="134"/>
      <c r="AEH832" s="134"/>
      <c r="AEI832" s="134"/>
      <c r="AEJ832" s="134"/>
      <c r="AEK832" s="134"/>
      <c r="AEL832" s="134"/>
      <c r="AEM832" s="134"/>
      <c r="AEN832" s="134"/>
      <c r="AEO832" s="134"/>
      <c r="AEP832" s="134"/>
      <c r="AEQ832" s="134"/>
      <c r="AER832" s="134"/>
      <c r="AES832" s="134"/>
      <c r="AET832" s="134"/>
      <c r="AEU832" s="134"/>
      <c r="AEV832" s="134"/>
      <c r="AEW832" s="134"/>
      <c r="AEX832" s="134"/>
      <c r="AEY832" s="134"/>
      <c r="AEZ832" s="134"/>
      <c r="AFA832" s="134"/>
      <c r="AFB832" s="134"/>
      <c r="AFC832" s="134"/>
      <c r="AFD832" s="134"/>
      <c r="AFE832" s="134"/>
      <c r="AFF832" s="134"/>
      <c r="AFG832" s="134"/>
      <c r="AFH832" s="134"/>
      <c r="AFI832" s="134"/>
      <c r="AFJ832" s="134"/>
      <c r="AFK832" s="134"/>
      <c r="AFL832" s="134"/>
      <c r="AFM832" s="134"/>
      <c r="AFN832" s="134"/>
      <c r="AFO832" s="134"/>
      <c r="AFP832" s="134"/>
      <c r="AFQ832" s="134"/>
      <c r="AFR832" s="134"/>
      <c r="AFS832" s="134"/>
      <c r="AFT832" s="134"/>
      <c r="AFU832" s="134"/>
      <c r="AFV832" s="134"/>
      <c r="AFW832" s="134"/>
      <c r="AFX832" s="134"/>
      <c r="AFY832" s="134"/>
      <c r="AFZ832" s="134"/>
      <c r="AGA832" s="134"/>
      <c r="AGB832" s="134"/>
      <c r="AGC832" s="134"/>
      <c r="AGD832" s="134"/>
      <c r="AGE832" s="134"/>
      <c r="AGF832" s="134"/>
      <c r="AGG832" s="134"/>
      <c r="AGH832" s="134"/>
      <c r="AGI832" s="134"/>
      <c r="AGJ832" s="134"/>
      <c r="AGK832" s="134"/>
      <c r="AGL832" s="134"/>
      <c r="AGM832" s="134"/>
      <c r="AGN832" s="134"/>
      <c r="AGO832" s="134"/>
      <c r="AGP832" s="134"/>
      <c r="AGQ832" s="134"/>
      <c r="AGR832" s="134"/>
      <c r="AGS832" s="134"/>
      <c r="AGT832" s="134"/>
      <c r="AGU832" s="134"/>
      <c r="AGV832" s="134"/>
      <c r="AGW832" s="134"/>
      <c r="AGX832" s="134"/>
      <c r="AGY832" s="134"/>
      <c r="AGZ832" s="134"/>
      <c r="AHA832" s="134"/>
      <c r="AHB832" s="134"/>
      <c r="AHC832" s="134"/>
      <c r="AHD832" s="134"/>
      <c r="AHE832" s="134"/>
      <c r="AHF832" s="134"/>
      <c r="AHG832" s="134"/>
      <c r="AHH832" s="134"/>
      <c r="AHI832" s="134"/>
      <c r="AHJ832" s="134"/>
      <c r="AHK832" s="134"/>
      <c r="AHL832" s="134"/>
      <c r="AHM832" s="134"/>
      <c r="AHN832" s="134"/>
      <c r="AHO832" s="134"/>
      <c r="AHP832" s="134"/>
      <c r="AHQ832" s="134"/>
      <c r="AHR832" s="134"/>
      <c r="AHS832" s="134"/>
      <c r="AHT832" s="134"/>
      <c r="AHU832" s="134"/>
      <c r="AHV832" s="134"/>
      <c r="AHW832" s="134"/>
      <c r="AHX832" s="134"/>
      <c r="AHY832" s="134"/>
      <c r="AHZ832" s="134"/>
      <c r="AIA832" s="134"/>
      <c r="AIB832" s="134"/>
      <c r="AIC832" s="134"/>
      <c r="AID832" s="134"/>
      <c r="AIE832" s="134"/>
      <c r="AIF832" s="134"/>
      <c r="AIG832" s="134"/>
      <c r="AIH832" s="134"/>
      <c r="AII832" s="134"/>
      <c r="AIJ832" s="134"/>
      <c r="AIK832" s="134"/>
      <c r="AIL832" s="134"/>
      <c r="AIM832" s="134"/>
      <c r="AIN832" s="134"/>
      <c r="AIO832" s="134"/>
      <c r="AIP832" s="134"/>
      <c r="AIQ832" s="134"/>
      <c r="AIR832" s="134"/>
      <c r="AIS832" s="134"/>
      <c r="AIT832" s="134"/>
      <c r="AIU832" s="134"/>
      <c r="AIV832" s="134"/>
      <c r="AIW832" s="134"/>
      <c r="AIX832" s="134"/>
      <c r="AIY832" s="134"/>
      <c r="AIZ832" s="134"/>
      <c r="AJA832" s="134"/>
      <c r="AJB832" s="134"/>
      <c r="AJC832" s="134"/>
      <c r="AJD832" s="134"/>
      <c r="AJE832" s="134"/>
      <c r="AJF832" s="134"/>
      <c r="AJG832" s="134"/>
      <c r="AJH832" s="134"/>
      <c r="AJI832" s="134"/>
      <c r="AJJ832" s="134"/>
      <c r="AJK832" s="134"/>
      <c r="AJL832" s="134"/>
      <c r="AJM832" s="134"/>
      <c r="AJN832" s="134"/>
      <c r="AJO832" s="134"/>
      <c r="AJP832" s="134"/>
      <c r="AJQ832" s="134"/>
      <c r="AJR832" s="134"/>
      <c r="AJS832" s="134"/>
      <c r="AJT832" s="134"/>
      <c r="AJU832" s="134"/>
      <c r="AJV832" s="134"/>
      <c r="AJW832" s="134"/>
      <c r="AJX832" s="134"/>
      <c r="AJY832" s="134"/>
      <c r="AJZ832" s="134"/>
      <c r="AKA832" s="134"/>
      <c r="AKB832" s="134"/>
      <c r="AKC832" s="134"/>
      <c r="AKD832" s="134"/>
      <c r="AKE832" s="134"/>
      <c r="AKF832" s="134"/>
      <c r="AKG832" s="134"/>
      <c r="AKH832" s="134"/>
      <c r="AKI832" s="134"/>
      <c r="AKJ832" s="134"/>
      <c r="AKK832" s="134"/>
      <c r="AKL832" s="134"/>
      <c r="AKM832" s="134"/>
      <c r="AKN832" s="134"/>
      <c r="AKO832" s="134"/>
      <c r="AKP832" s="134"/>
      <c r="AKQ832" s="134"/>
      <c r="AKR832" s="134"/>
      <c r="AKS832" s="134"/>
      <c r="AKT832" s="134"/>
      <c r="AKU832" s="134"/>
      <c r="AKV832" s="134"/>
      <c r="AKW832" s="134"/>
      <c r="AKX832" s="134"/>
      <c r="AKY832" s="134"/>
      <c r="AKZ832" s="134"/>
      <c r="ALA832" s="134"/>
      <c r="ALB832" s="134"/>
      <c r="ALC832" s="134"/>
      <c r="ALD832" s="134"/>
      <c r="ALE832" s="134"/>
      <c r="ALF832" s="134"/>
      <c r="ALG832" s="134"/>
      <c r="ALH832" s="134"/>
      <c r="ALI832" s="134"/>
      <c r="ALJ832" s="134"/>
      <c r="ALK832" s="134"/>
      <c r="ALL832" s="134"/>
      <c r="ALM832" s="134"/>
      <c r="ALN832" s="134"/>
      <c r="ALO832" s="134"/>
      <c r="ALP832" s="134"/>
      <c r="ALQ832" s="134"/>
      <c r="ALR832" s="134"/>
      <c r="ALS832" s="134"/>
      <c r="ALT832" s="134"/>
      <c r="ALU832" s="134"/>
      <c r="ALV832" s="134"/>
      <c r="ALW832" s="134"/>
      <c r="ALX832" s="134"/>
      <c r="ALY832" s="134"/>
      <c r="ALZ832" s="134"/>
      <c r="AMA832" s="134"/>
      <c r="AMB832" s="134"/>
      <c r="AMC832" s="134"/>
      <c r="AMD832" s="134"/>
      <c r="AME832" s="134"/>
      <c r="AMF832" s="134"/>
      <c r="AMG832" s="134"/>
      <c r="AMH832" s="134"/>
      <c r="AMI832" s="134"/>
      <c r="AMJ832" s="134"/>
      <c r="AMK832" s="134"/>
      <c r="AML832" s="134"/>
      <c r="AMM832" s="134"/>
      <c r="AMN832" s="134"/>
      <c r="AMO832" s="134"/>
      <c r="AMP832" s="134"/>
      <c r="AMQ832" s="134"/>
      <c r="AMR832" s="134"/>
      <c r="AMS832" s="134"/>
      <c r="AMT832" s="134"/>
      <c r="AMU832" s="134"/>
      <c r="AMV832" s="134"/>
      <c r="AMW832" s="134"/>
      <c r="AMX832" s="134"/>
      <c r="AMY832" s="134"/>
      <c r="AMZ832" s="134"/>
      <c r="ANA832" s="134"/>
      <c r="ANB832" s="134"/>
      <c r="ANC832" s="134"/>
      <c r="AND832" s="134"/>
      <c r="ANE832" s="134"/>
      <c r="ANF832" s="134"/>
      <c r="ANG832" s="134"/>
      <c r="ANH832" s="134"/>
      <c r="ANI832" s="134"/>
      <c r="ANJ832" s="134"/>
      <c r="ANK832" s="134"/>
      <c r="ANL832" s="134"/>
      <c r="ANM832" s="134"/>
      <c r="ANN832" s="134"/>
      <c r="ANO832" s="134"/>
      <c r="ANP832" s="134"/>
      <c r="ANQ832" s="134"/>
      <c r="ANR832" s="134"/>
      <c r="ANS832" s="134"/>
      <c r="ANT832" s="134"/>
      <c r="ANU832" s="134"/>
      <c r="ANV832" s="134"/>
      <c r="ANW832" s="134"/>
      <c r="ANX832" s="134"/>
      <c r="ANY832" s="134"/>
      <c r="ANZ832" s="134"/>
      <c r="AOA832" s="134"/>
      <c r="AOB832" s="134"/>
      <c r="AOC832" s="134"/>
      <c r="AOD832" s="134"/>
      <c r="AOE832" s="134"/>
      <c r="AOF832" s="134"/>
      <c r="AOG832" s="134"/>
      <c r="AOH832" s="134"/>
      <c r="AOI832" s="134"/>
      <c r="AOJ832" s="134"/>
      <c r="AOK832" s="134"/>
      <c r="AOL832" s="134"/>
      <c r="AOM832" s="134"/>
      <c r="AON832" s="134"/>
      <c r="AOO832" s="134"/>
      <c r="AOP832" s="134"/>
      <c r="AOQ832" s="134"/>
      <c r="AOR832" s="134"/>
      <c r="AOS832" s="134"/>
      <c r="AOT832" s="134"/>
      <c r="AOU832" s="134"/>
      <c r="AOV832" s="134"/>
      <c r="AOW832" s="134"/>
      <c r="AOX832" s="134"/>
      <c r="AOY832" s="134"/>
      <c r="AOZ832" s="134"/>
      <c r="APA832" s="134"/>
      <c r="APB832" s="134"/>
      <c r="APC832" s="134"/>
      <c r="APD832" s="134"/>
      <c r="APE832" s="134"/>
      <c r="APF832" s="134"/>
      <c r="APG832" s="134"/>
      <c r="APH832" s="134"/>
      <c r="API832" s="134"/>
      <c r="APJ832" s="134"/>
      <c r="APK832" s="134"/>
      <c r="APL832" s="134"/>
      <c r="APM832" s="134"/>
      <c r="APN832" s="134"/>
      <c r="APO832" s="134"/>
      <c r="APP832" s="134"/>
      <c r="APQ832" s="134"/>
      <c r="APR832" s="134"/>
      <c r="APS832" s="134"/>
      <c r="APT832" s="134"/>
      <c r="APU832" s="134"/>
      <c r="APV832" s="134"/>
      <c r="APW832" s="134"/>
      <c r="APX832" s="134"/>
      <c r="APY832" s="134"/>
      <c r="APZ832" s="134"/>
      <c r="AQA832" s="134"/>
      <c r="AQB832" s="134"/>
      <c r="AQC832" s="134"/>
      <c r="AQD832" s="134"/>
      <c r="AQE832" s="134"/>
      <c r="AQF832" s="134"/>
      <c r="AQG832" s="134"/>
      <c r="AQH832" s="134"/>
      <c r="AQI832" s="134"/>
      <c r="AQJ832" s="134"/>
      <c r="AQK832" s="134"/>
      <c r="AQL832" s="134"/>
      <c r="AQM832" s="134"/>
      <c r="AQN832" s="134"/>
      <c r="AQO832" s="134"/>
      <c r="AQP832" s="134"/>
      <c r="AQQ832" s="134"/>
      <c r="AQR832" s="134"/>
      <c r="AQS832" s="134"/>
      <c r="AQT832" s="134"/>
      <c r="AQU832" s="134"/>
      <c r="AQV832" s="134"/>
      <c r="AQW832" s="134"/>
      <c r="AQX832" s="134"/>
      <c r="AQY832" s="134"/>
      <c r="AQZ832" s="134"/>
      <c r="ARA832" s="134"/>
      <c r="ARB832" s="134"/>
      <c r="ARC832" s="134"/>
      <c r="ARD832" s="134"/>
      <c r="ARE832" s="134"/>
      <c r="ARF832" s="134"/>
      <c r="ARG832" s="134"/>
      <c r="ARH832" s="134"/>
      <c r="ARI832" s="134"/>
      <c r="ARJ832" s="134"/>
      <c r="ARK832" s="134"/>
      <c r="ARL832" s="134"/>
      <c r="ARM832" s="134"/>
      <c r="ARN832" s="134"/>
      <c r="ARO832" s="134"/>
      <c r="ARP832" s="134"/>
      <c r="ARQ832" s="134"/>
      <c r="ARR832" s="134"/>
      <c r="ARS832" s="134"/>
      <c r="ART832" s="134"/>
      <c r="ARU832" s="134"/>
      <c r="ARV832" s="134"/>
      <c r="ARW832" s="134"/>
      <c r="ARX832" s="134"/>
      <c r="ARY832" s="134"/>
      <c r="ARZ832" s="134"/>
      <c r="ASA832" s="134"/>
      <c r="ASB832" s="134"/>
      <c r="ASC832" s="134"/>
      <c r="ASD832" s="134"/>
      <c r="ASE832" s="134"/>
      <c r="ASF832" s="134"/>
      <c r="ASG832" s="134"/>
      <c r="ASH832" s="134"/>
      <c r="ASI832" s="134"/>
      <c r="ASJ832" s="134"/>
      <c r="ASK832" s="134"/>
      <c r="ASL832" s="134"/>
      <c r="ASM832" s="134"/>
      <c r="ASN832" s="134"/>
      <c r="ASO832" s="134"/>
      <c r="ASP832" s="134"/>
      <c r="ASQ832" s="134"/>
      <c r="ASR832" s="134"/>
      <c r="ASS832" s="134"/>
      <c r="AST832" s="134"/>
      <c r="ASU832" s="134"/>
      <c r="ASV832" s="134"/>
      <c r="ASW832" s="134"/>
      <c r="ASX832" s="134"/>
      <c r="ASY832" s="134"/>
      <c r="ASZ832" s="134"/>
      <c r="ATA832" s="134"/>
      <c r="ATB832" s="134"/>
      <c r="ATC832" s="134"/>
      <c r="ATD832" s="134"/>
      <c r="ATE832" s="134"/>
      <c r="ATF832" s="134"/>
      <c r="ATG832" s="134"/>
      <c r="ATH832" s="134"/>
      <c r="ATI832" s="134"/>
      <c r="ATJ832" s="134"/>
      <c r="ATK832" s="134"/>
      <c r="ATL832" s="134"/>
      <c r="ATM832" s="134"/>
      <c r="ATN832" s="134"/>
      <c r="ATO832" s="134"/>
      <c r="ATP832" s="134"/>
      <c r="ATQ832" s="134"/>
      <c r="ATR832" s="134"/>
      <c r="ATS832" s="134"/>
      <c r="ATT832" s="134"/>
      <c r="ATU832" s="134"/>
      <c r="ATV832" s="134"/>
      <c r="ATW832" s="134"/>
      <c r="ATX832" s="134"/>
      <c r="ATY832" s="134"/>
      <c r="ATZ832" s="134"/>
      <c r="AUA832" s="134"/>
      <c r="AUB832" s="134"/>
      <c r="AUC832" s="134"/>
      <c r="AUD832" s="134"/>
      <c r="AUE832" s="134"/>
      <c r="AUF832" s="134"/>
      <c r="AUG832" s="134"/>
      <c r="AUH832" s="134"/>
      <c r="AUI832" s="134"/>
      <c r="AUJ832" s="134"/>
      <c r="AUK832" s="134"/>
      <c r="AUL832" s="134"/>
      <c r="AUM832" s="134"/>
      <c r="AUN832" s="134"/>
      <c r="AUO832" s="134"/>
      <c r="AUP832" s="134"/>
      <c r="AUQ832" s="134"/>
      <c r="AUR832" s="134"/>
      <c r="AUS832" s="134"/>
      <c r="AUT832" s="134"/>
      <c r="AUU832" s="134"/>
      <c r="AUV832" s="134"/>
      <c r="AUW832" s="134"/>
      <c r="AUX832" s="134"/>
      <c r="AUY832" s="134"/>
      <c r="AUZ832" s="134"/>
      <c r="AVA832" s="134"/>
      <c r="AVB832" s="134"/>
      <c r="AVC832" s="134"/>
      <c r="AVD832" s="134"/>
      <c r="AVE832" s="134"/>
      <c r="AVF832" s="134"/>
      <c r="AVG832" s="134"/>
      <c r="AVH832" s="134"/>
      <c r="AVI832" s="134"/>
      <c r="AVJ832" s="134"/>
      <c r="AVK832" s="134"/>
      <c r="AVL832" s="134"/>
      <c r="AVM832" s="134"/>
      <c r="AVN832" s="134"/>
      <c r="AVO832" s="134"/>
      <c r="AVP832" s="134"/>
      <c r="AVQ832" s="134"/>
      <c r="AVR832" s="134"/>
      <c r="AVS832" s="134"/>
      <c r="AVT832" s="134"/>
      <c r="AVU832" s="134"/>
      <c r="AVV832" s="134"/>
      <c r="AVW832" s="134"/>
      <c r="AVX832" s="134"/>
      <c r="AVY832" s="134"/>
      <c r="AVZ832" s="134"/>
      <c r="AWA832" s="134"/>
      <c r="AWB832" s="134"/>
      <c r="AWC832" s="134"/>
      <c r="AWD832" s="134"/>
      <c r="AWE832" s="134"/>
      <c r="AWF832" s="134"/>
      <c r="AWG832" s="134"/>
      <c r="AWH832" s="134"/>
      <c r="AWI832" s="134"/>
      <c r="AWJ832" s="134"/>
      <c r="AWK832" s="134"/>
      <c r="AWL832" s="134"/>
      <c r="AWM832" s="134"/>
      <c r="AWN832" s="134"/>
      <c r="AWO832" s="134"/>
      <c r="AWP832" s="134"/>
      <c r="AWQ832" s="134"/>
      <c r="AWR832" s="134"/>
      <c r="AWS832" s="134"/>
      <c r="AWT832" s="134"/>
      <c r="AWU832" s="134"/>
      <c r="AWV832" s="134"/>
      <c r="AWW832" s="134"/>
      <c r="AWX832" s="134"/>
      <c r="AWY832" s="134"/>
      <c r="AWZ832" s="134"/>
      <c r="AXA832" s="134"/>
      <c r="AXB832" s="134"/>
      <c r="AXC832" s="134"/>
      <c r="AXD832" s="134"/>
      <c r="AXE832" s="134"/>
      <c r="AXF832" s="134"/>
      <c r="AXG832" s="134"/>
      <c r="AXH832" s="134"/>
      <c r="AXI832" s="134"/>
      <c r="AXJ832" s="134"/>
      <c r="AXK832" s="134"/>
      <c r="AXL832" s="134"/>
      <c r="AXM832" s="134"/>
      <c r="AXN832" s="134"/>
      <c r="AXO832" s="134"/>
      <c r="AXP832" s="134"/>
      <c r="AXQ832" s="134"/>
      <c r="AXR832" s="134"/>
      <c r="AXS832" s="134"/>
      <c r="AXT832" s="134"/>
      <c r="AXU832" s="134"/>
      <c r="AXV832" s="134"/>
      <c r="AXW832" s="134"/>
      <c r="AXX832" s="134"/>
      <c r="AXY832" s="134"/>
      <c r="AXZ832" s="134"/>
      <c r="AYA832" s="134"/>
      <c r="AYB832" s="134"/>
      <c r="AYC832" s="134"/>
      <c r="AYD832" s="134"/>
      <c r="AYE832" s="134"/>
      <c r="AYF832" s="134"/>
      <c r="AYG832" s="134"/>
      <c r="AYH832" s="134"/>
      <c r="AYI832" s="134"/>
      <c r="AYJ832" s="134"/>
      <c r="AYK832" s="134"/>
      <c r="AYL832" s="134"/>
      <c r="AYM832" s="134"/>
      <c r="AYN832" s="134"/>
      <c r="AYO832" s="134"/>
      <c r="AYP832" s="134"/>
      <c r="AYQ832" s="134"/>
      <c r="AYR832" s="134"/>
      <c r="AYS832" s="134"/>
      <c r="AYT832" s="134"/>
      <c r="AYU832" s="134"/>
      <c r="AYV832" s="134"/>
      <c r="AYW832" s="134"/>
      <c r="AYX832" s="134"/>
      <c r="AYY832" s="134"/>
      <c r="AYZ832" s="134"/>
      <c r="AZA832" s="134"/>
      <c r="AZB832" s="134"/>
      <c r="AZC832" s="134"/>
      <c r="AZD832" s="134"/>
      <c r="AZE832" s="134"/>
      <c r="AZF832" s="134"/>
      <c r="AZG832" s="134"/>
      <c r="AZH832" s="134"/>
      <c r="AZI832" s="134"/>
      <c r="AZJ832" s="134"/>
      <c r="AZK832" s="134"/>
      <c r="AZL832" s="134"/>
      <c r="AZM832" s="134"/>
      <c r="AZN832" s="134"/>
      <c r="AZO832" s="134"/>
      <c r="AZP832" s="134"/>
      <c r="AZQ832" s="134"/>
      <c r="AZR832" s="134"/>
      <c r="AZS832" s="134"/>
      <c r="AZT832" s="134"/>
      <c r="AZU832" s="134"/>
      <c r="AZV832" s="134"/>
      <c r="AZW832" s="134"/>
      <c r="AZX832" s="134"/>
      <c r="AZY832" s="134"/>
      <c r="AZZ832" s="134"/>
      <c r="BAA832" s="134"/>
      <c r="BAB832" s="134"/>
      <c r="BAC832" s="134"/>
      <c r="BAD832" s="134"/>
      <c r="BAE832" s="134"/>
      <c r="BAF832" s="134"/>
      <c r="BAG832" s="134"/>
      <c r="BAH832" s="134"/>
      <c r="BAI832" s="134"/>
      <c r="BAJ832" s="134"/>
      <c r="BAK832" s="134"/>
      <c r="BAL832" s="134"/>
      <c r="BAM832" s="134"/>
      <c r="BAN832" s="134"/>
      <c r="BAO832" s="134"/>
      <c r="BAP832" s="134"/>
      <c r="BAQ832" s="134"/>
      <c r="BAR832" s="134"/>
      <c r="BAS832" s="134"/>
      <c r="BAT832" s="134"/>
      <c r="BAU832" s="134"/>
      <c r="BAV832" s="134"/>
      <c r="BAW832" s="134"/>
      <c r="BAX832" s="134"/>
      <c r="BAY832" s="134"/>
      <c r="BAZ832" s="134"/>
      <c r="BBA832" s="134"/>
      <c r="BBB832" s="134"/>
      <c r="BBC832" s="134"/>
      <c r="BBD832" s="134"/>
      <c r="BBE832" s="134"/>
      <c r="BBF832" s="134"/>
      <c r="BBG832" s="134"/>
      <c r="BBH832" s="134"/>
      <c r="BBI832" s="134"/>
      <c r="BBJ832" s="134"/>
      <c r="BBK832" s="134"/>
      <c r="BBL832" s="134"/>
      <c r="BBM832" s="134"/>
      <c r="BBN832" s="134"/>
      <c r="BBO832" s="134"/>
      <c r="BBP832" s="134"/>
      <c r="BBQ832" s="134"/>
      <c r="BBR832" s="134"/>
      <c r="BBS832" s="134"/>
      <c r="BBT832" s="134"/>
      <c r="BBU832" s="134"/>
      <c r="BBV832" s="134"/>
      <c r="BBW832" s="134"/>
      <c r="BBX832" s="134"/>
      <c r="BBY832" s="134"/>
      <c r="BBZ832" s="134"/>
      <c r="BCA832" s="134"/>
      <c r="BCB832" s="134"/>
      <c r="BCC832" s="134"/>
      <c r="BCD832" s="134"/>
      <c r="BCE832" s="134"/>
      <c r="BCF832" s="134"/>
      <c r="BCG832" s="134"/>
      <c r="BCH832" s="134"/>
      <c r="BCI832" s="134"/>
      <c r="BCJ832" s="134"/>
      <c r="BCK832" s="134"/>
      <c r="BCL832" s="134"/>
      <c r="BCM832" s="134"/>
      <c r="BCN832" s="134"/>
      <c r="BCO832" s="134"/>
      <c r="BCP832" s="134"/>
      <c r="BCQ832" s="134"/>
      <c r="BCR832" s="134"/>
      <c r="BCS832" s="134"/>
      <c r="BCT832" s="134"/>
      <c r="BCU832" s="134"/>
      <c r="BCV832" s="134"/>
      <c r="BCW832" s="134"/>
      <c r="BCX832" s="134"/>
      <c r="BCY832" s="134"/>
      <c r="BCZ832" s="134"/>
      <c r="BDA832" s="134"/>
      <c r="BDB832" s="134"/>
      <c r="BDC832" s="134"/>
      <c r="BDD832" s="134"/>
      <c r="BDE832" s="134"/>
      <c r="BDF832" s="134"/>
      <c r="BDG832" s="134"/>
      <c r="BDH832" s="134"/>
      <c r="BDI832" s="134"/>
      <c r="BDJ832" s="134"/>
      <c r="BDK832" s="134"/>
      <c r="BDL832" s="134"/>
      <c r="BDM832" s="134"/>
      <c r="BDN832" s="134"/>
      <c r="BDO832" s="134"/>
      <c r="BDP832" s="134"/>
      <c r="BDQ832" s="134"/>
      <c r="BDR832" s="134"/>
      <c r="BDS832" s="134"/>
      <c r="BDT832" s="134"/>
      <c r="BDU832" s="134"/>
      <c r="BDV832" s="134"/>
      <c r="BDW832" s="134"/>
      <c r="BDX832" s="134"/>
      <c r="BDY832" s="134"/>
      <c r="BDZ832" s="134"/>
      <c r="BEA832" s="134"/>
      <c r="BEB832" s="134"/>
      <c r="BEC832" s="134"/>
      <c r="BED832" s="134"/>
      <c r="BEE832" s="134"/>
      <c r="BEF832" s="134"/>
      <c r="BEG832" s="134"/>
      <c r="BEH832" s="134"/>
      <c r="BEI832" s="134"/>
      <c r="BEJ832" s="134"/>
      <c r="BEK832" s="134"/>
      <c r="BEL832" s="134"/>
      <c r="BEM832" s="134"/>
      <c r="BEN832" s="134"/>
      <c r="BEO832" s="134"/>
      <c r="BEP832" s="134"/>
      <c r="BEQ832" s="134"/>
      <c r="BER832" s="134"/>
      <c r="BES832" s="134"/>
      <c r="BET832" s="134"/>
      <c r="BEU832" s="134"/>
      <c r="BEV832" s="134"/>
      <c r="BEW832" s="134"/>
      <c r="BEX832" s="134"/>
      <c r="BEY832" s="134"/>
      <c r="BEZ832" s="134"/>
      <c r="BFA832" s="134"/>
      <c r="BFB832" s="134"/>
      <c r="BFC832" s="134"/>
      <c r="BFD832" s="134"/>
      <c r="BFE832" s="134"/>
      <c r="BFF832" s="134"/>
      <c r="BFG832" s="134"/>
      <c r="BFH832" s="134"/>
      <c r="BFI832" s="134"/>
      <c r="BFJ832" s="134"/>
      <c r="BFK832" s="134"/>
      <c r="BFL832" s="134"/>
      <c r="BFM832" s="134"/>
      <c r="BFN832" s="134"/>
      <c r="BFO832" s="134"/>
      <c r="BFP832" s="134"/>
      <c r="BFQ832" s="134"/>
      <c r="BFR832" s="134"/>
      <c r="BFS832" s="134"/>
      <c r="BFT832" s="134"/>
      <c r="BFU832" s="134"/>
      <c r="BFV832" s="134"/>
      <c r="BFW832" s="134"/>
      <c r="BFX832" s="134"/>
      <c r="BFY832" s="134"/>
      <c r="BFZ832" s="134"/>
      <c r="BGA832" s="134"/>
      <c r="BGB832" s="134"/>
      <c r="BGC832" s="134"/>
      <c r="BGD832" s="134"/>
      <c r="BGE832" s="134"/>
      <c r="BGF832" s="134"/>
      <c r="BGG832" s="134"/>
      <c r="BGH832" s="134"/>
      <c r="BGI832" s="134"/>
      <c r="BGJ832" s="134"/>
      <c r="BGK832" s="134"/>
      <c r="BGL832" s="134"/>
      <c r="BGM832" s="134"/>
      <c r="BGN832" s="134"/>
      <c r="BGO832" s="134"/>
      <c r="BGP832" s="134"/>
      <c r="BGQ832" s="134"/>
      <c r="BGR832" s="134"/>
      <c r="BGS832" s="134"/>
      <c r="BGT832" s="134"/>
      <c r="BGU832" s="134"/>
      <c r="BGV832" s="134"/>
      <c r="BGW832" s="134"/>
      <c r="BGX832" s="134"/>
      <c r="BGY832" s="134"/>
      <c r="BGZ832" s="134"/>
      <c r="BHA832" s="134"/>
      <c r="BHB832" s="134"/>
      <c r="BHC832" s="134"/>
      <c r="BHD832" s="134"/>
      <c r="BHE832" s="134"/>
      <c r="BHF832" s="134"/>
      <c r="BHG832" s="134"/>
      <c r="BHH832" s="134"/>
      <c r="BHI832" s="134"/>
      <c r="BHJ832" s="134"/>
      <c r="BHK832" s="134"/>
      <c r="BHL832" s="134"/>
      <c r="BHM832" s="134"/>
      <c r="BHN832" s="134"/>
      <c r="BHO832" s="134"/>
      <c r="BHP832" s="134"/>
      <c r="BHQ832" s="134"/>
      <c r="BHR832" s="134"/>
      <c r="BHS832" s="134"/>
      <c r="BHT832" s="134"/>
      <c r="BHU832" s="134"/>
      <c r="BHV832" s="134"/>
      <c r="BHW832" s="134"/>
      <c r="BHX832" s="134"/>
      <c r="BHY832" s="134"/>
      <c r="BHZ832" s="134"/>
      <c r="BIA832" s="134"/>
      <c r="BIB832" s="134"/>
      <c r="BIC832" s="134"/>
      <c r="BID832" s="134"/>
      <c r="BIE832" s="134"/>
      <c r="BIF832" s="134"/>
      <c r="BIG832" s="134"/>
      <c r="BIH832" s="134"/>
      <c r="BII832" s="134"/>
      <c r="BIJ832" s="134"/>
      <c r="BIK832" s="134"/>
      <c r="BIL832" s="134"/>
      <c r="BIM832" s="134"/>
      <c r="BIN832" s="134"/>
      <c r="BIO832" s="134"/>
      <c r="BIP832" s="134"/>
      <c r="BIQ832" s="134"/>
      <c r="BIR832" s="134"/>
      <c r="BIS832" s="134"/>
      <c r="BIT832" s="134"/>
      <c r="BIU832" s="134"/>
      <c r="BIV832" s="134"/>
      <c r="BIW832" s="134"/>
      <c r="BIX832" s="134"/>
      <c r="BIY832" s="134"/>
      <c r="BIZ832" s="134"/>
      <c r="BJA832" s="134"/>
      <c r="BJB832" s="134"/>
      <c r="BJC832" s="134"/>
      <c r="BJD832" s="134"/>
      <c r="BJE832" s="134"/>
      <c r="BJF832" s="134"/>
      <c r="BJG832" s="134"/>
      <c r="BJH832" s="134"/>
      <c r="BJI832" s="134"/>
      <c r="BJJ832" s="134"/>
      <c r="BJK832" s="134"/>
      <c r="BJL832" s="134"/>
      <c r="BJM832" s="134"/>
      <c r="BJN832" s="134"/>
      <c r="BJO832" s="134"/>
      <c r="BJP832" s="134"/>
      <c r="BJQ832" s="134"/>
      <c r="BJR832" s="134"/>
      <c r="BJS832" s="134"/>
      <c r="BJT832" s="134"/>
      <c r="BJU832" s="134"/>
      <c r="BJV832" s="134"/>
      <c r="BJW832" s="134"/>
      <c r="BJX832" s="134"/>
      <c r="BJY832" s="134"/>
      <c r="BJZ832" s="134"/>
      <c r="BKA832" s="134"/>
      <c r="BKB832" s="134"/>
      <c r="BKC832" s="134"/>
      <c r="BKD832" s="134"/>
      <c r="BKE832" s="134"/>
      <c r="BKF832" s="134"/>
      <c r="BKG832" s="134"/>
      <c r="BKH832" s="134"/>
      <c r="BKI832" s="134"/>
      <c r="BKJ832" s="134"/>
      <c r="BKK832" s="134"/>
      <c r="BKL832" s="134"/>
      <c r="BKM832" s="134"/>
      <c r="BKN832" s="134"/>
      <c r="BKO832" s="134"/>
      <c r="BKP832" s="134"/>
      <c r="BKQ832" s="134"/>
      <c r="BKR832" s="134"/>
      <c r="BKS832" s="134"/>
      <c r="BKT832" s="134"/>
      <c r="BKU832" s="134"/>
      <c r="BKV832" s="134"/>
      <c r="BKW832" s="134"/>
      <c r="BKX832" s="134"/>
      <c r="BKY832" s="134"/>
      <c r="BKZ832" s="134"/>
      <c r="BLA832" s="134"/>
      <c r="BLB832" s="134"/>
      <c r="BLC832" s="134"/>
      <c r="BLD832" s="134"/>
      <c r="BLE832" s="134"/>
      <c r="BLF832" s="134"/>
      <c r="BLG832" s="134"/>
      <c r="BLH832" s="134"/>
      <c r="BLI832" s="134"/>
      <c r="BLJ832" s="134"/>
      <c r="BLK832" s="134"/>
      <c r="BLL832" s="134"/>
      <c r="BLM832" s="134"/>
      <c r="BLN832" s="134"/>
      <c r="BLO832" s="134"/>
      <c r="BLP832" s="134"/>
      <c r="BLQ832" s="134"/>
      <c r="BLR832" s="134"/>
      <c r="BLS832" s="134"/>
      <c r="BLT832" s="134"/>
      <c r="BLU832" s="134"/>
      <c r="BLV832" s="134"/>
      <c r="BLW832" s="134"/>
      <c r="BLX832" s="134"/>
      <c r="BLY832" s="134"/>
      <c r="BLZ832" s="134"/>
      <c r="BMA832" s="134"/>
      <c r="BMB832" s="134"/>
      <c r="BMC832" s="134"/>
      <c r="BMD832" s="134"/>
      <c r="BME832" s="134"/>
      <c r="BMF832" s="134"/>
      <c r="BMG832" s="134"/>
      <c r="BMH832" s="134"/>
      <c r="BMI832" s="134"/>
      <c r="BMJ832" s="134"/>
      <c r="BMK832" s="134"/>
      <c r="BML832" s="134"/>
      <c r="BMM832" s="134"/>
      <c r="BMN832" s="134"/>
      <c r="BMO832" s="134"/>
      <c r="BMP832" s="134"/>
      <c r="BMQ832" s="134"/>
      <c r="BMR832" s="134"/>
      <c r="BMS832" s="134"/>
      <c r="BMT832" s="134"/>
      <c r="BMU832" s="134"/>
      <c r="BMV832" s="134"/>
      <c r="BMW832" s="134"/>
      <c r="BMX832" s="134"/>
      <c r="BMY832" s="134"/>
      <c r="BMZ832" s="134"/>
      <c r="BNA832" s="134"/>
      <c r="BNB832" s="134"/>
      <c r="BNC832" s="134"/>
      <c r="BND832" s="134"/>
      <c r="BNE832" s="134"/>
      <c r="BNF832" s="134"/>
      <c r="BNG832" s="134"/>
      <c r="BNH832" s="134"/>
      <c r="BNI832" s="134"/>
      <c r="BNJ832" s="134"/>
      <c r="BNK832" s="134"/>
      <c r="BNL832" s="134"/>
      <c r="BNM832" s="134"/>
      <c r="BNN832" s="134"/>
      <c r="BNO832" s="134"/>
      <c r="BNP832" s="134"/>
      <c r="BNQ832" s="134"/>
      <c r="BNR832" s="134"/>
      <c r="BNS832" s="134"/>
      <c r="BNT832" s="134"/>
      <c r="BNU832" s="134"/>
      <c r="BNV832" s="134"/>
      <c r="BNW832" s="134"/>
      <c r="BNX832" s="134"/>
      <c r="BNY832" s="134"/>
      <c r="BNZ832" s="134"/>
      <c r="BOA832" s="134"/>
      <c r="BOB832" s="134"/>
      <c r="BOC832" s="134"/>
      <c r="BOD832" s="134"/>
      <c r="BOE832" s="134"/>
      <c r="BOF832" s="134"/>
      <c r="BOG832" s="134"/>
      <c r="BOH832" s="134"/>
      <c r="BOI832" s="134"/>
      <c r="BOJ832" s="134"/>
      <c r="BOK832" s="134"/>
      <c r="BOL832" s="134"/>
      <c r="BOM832" s="134"/>
      <c r="BON832" s="134"/>
      <c r="BOO832" s="134"/>
      <c r="BOP832" s="134"/>
      <c r="BOQ832" s="134"/>
      <c r="BOR832" s="134"/>
      <c r="BOS832" s="134"/>
      <c r="BOT832" s="134"/>
      <c r="BOU832" s="134"/>
      <c r="BOV832" s="134"/>
      <c r="BOW832" s="134"/>
      <c r="BOX832" s="134"/>
      <c r="BOY832" s="134"/>
      <c r="BOZ832" s="134"/>
      <c r="BPA832" s="134"/>
      <c r="BPB832" s="134"/>
      <c r="BPC832" s="134"/>
      <c r="BPD832" s="134"/>
      <c r="BPE832" s="134"/>
      <c r="BPF832" s="134"/>
      <c r="BPG832" s="134"/>
      <c r="BPH832" s="134"/>
      <c r="BPI832" s="134"/>
      <c r="BPJ832" s="134"/>
      <c r="BPK832" s="134"/>
      <c r="BPL832" s="134"/>
      <c r="BPM832" s="134"/>
      <c r="BPN832" s="134"/>
      <c r="BPO832" s="134"/>
      <c r="BPP832" s="134"/>
      <c r="BPQ832" s="134"/>
      <c r="BPR832" s="134"/>
      <c r="BPS832" s="134"/>
      <c r="BPT832" s="134"/>
      <c r="BPU832" s="134"/>
      <c r="BPV832" s="134"/>
      <c r="BPW832" s="134"/>
      <c r="BPX832" s="134"/>
      <c r="BPY832" s="134"/>
      <c r="BPZ832" s="134"/>
      <c r="BQA832" s="134"/>
      <c r="BQB832" s="134"/>
      <c r="BQC832" s="134"/>
      <c r="BQD832" s="134"/>
      <c r="BQE832" s="134"/>
      <c r="BQF832" s="134"/>
      <c r="BQG832" s="134"/>
      <c r="BQH832" s="134"/>
      <c r="BQI832" s="134"/>
      <c r="BQJ832" s="134"/>
      <c r="BQK832" s="134"/>
      <c r="BQL832" s="134"/>
      <c r="BQM832" s="134"/>
      <c r="BQN832" s="134"/>
      <c r="BQO832" s="134"/>
      <c r="BQP832" s="134"/>
      <c r="BQQ832" s="134"/>
      <c r="BQR832" s="134"/>
      <c r="BQS832" s="134"/>
      <c r="BQT832" s="134"/>
      <c r="BQU832" s="134"/>
      <c r="BQV832" s="134"/>
      <c r="BQW832" s="134"/>
      <c r="BQX832" s="134"/>
      <c r="BQY832" s="134"/>
      <c r="BQZ832" s="134"/>
      <c r="BRA832" s="134"/>
      <c r="BRB832" s="134"/>
      <c r="BRC832" s="134"/>
      <c r="BRD832" s="134"/>
      <c r="BRE832" s="134"/>
      <c r="BRF832" s="134"/>
      <c r="BRG832" s="134"/>
      <c r="BRH832" s="134"/>
      <c r="BRI832" s="134"/>
      <c r="BRJ832" s="134"/>
      <c r="BRK832" s="134"/>
      <c r="BRL832" s="134"/>
      <c r="BRM832" s="134"/>
      <c r="BRN832" s="134"/>
      <c r="BRO832" s="134"/>
      <c r="BRP832" s="134"/>
      <c r="BRQ832" s="134"/>
      <c r="BRR832" s="134"/>
      <c r="BRS832" s="134"/>
      <c r="BRT832" s="134"/>
      <c r="BRU832" s="134"/>
      <c r="BRV832" s="134"/>
      <c r="BRW832" s="134"/>
      <c r="BRX832" s="134"/>
      <c r="BRY832" s="134"/>
      <c r="BRZ832" s="134"/>
      <c r="BSA832" s="134"/>
      <c r="BSB832" s="134"/>
      <c r="BSC832" s="134"/>
      <c r="BSD832" s="134"/>
      <c r="BSE832" s="134"/>
      <c r="BSF832" s="134"/>
      <c r="BSG832" s="134"/>
      <c r="BSH832" s="134"/>
      <c r="BSI832" s="134"/>
      <c r="BSJ832" s="134"/>
      <c r="BSK832" s="134"/>
      <c r="BSL832" s="134"/>
      <c r="BSM832" s="134"/>
      <c r="BSN832" s="134"/>
      <c r="BSO832" s="134"/>
      <c r="BSP832" s="134"/>
      <c r="BSQ832" s="134"/>
      <c r="BSR832" s="134"/>
      <c r="BSS832" s="134"/>
      <c r="BST832" s="134"/>
      <c r="BSU832" s="134"/>
      <c r="BSV832" s="134"/>
      <c r="BSW832" s="134"/>
      <c r="BSX832" s="134"/>
      <c r="BSY832" s="134"/>
      <c r="BSZ832" s="134"/>
      <c r="BTA832" s="134"/>
      <c r="BTB832" s="134"/>
      <c r="BTC832" s="134"/>
      <c r="BTD832" s="134"/>
      <c r="BTE832" s="134"/>
      <c r="BTF832" s="134"/>
      <c r="BTG832" s="134"/>
      <c r="BTH832" s="134"/>
      <c r="BTI832" s="134"/>
      <c r="BTJ832" s="134"/>
      <c r="BTK832" s="134"/>
      <c r="BTL832" s="134"/>
      <c r="BTM832" s="134"/>
      <c r="BTN832" s="134"/>
      <c r="BTO832" s="134"/>
      <c r="BTP832" s="134"/>
      <c r="BTQ832" s="134"/>
      <c r="BTR832" s="134"/>
      <c r="BTS832" s="134"/>
      <c r="BTT832" s="134"/>
      <c r="BTU832" s="134"/>
      <c r="BTV832" s="134"/>
      <c r="BTW832" s="134"/>
      <c r="BTX832" s="134"/>
      <c r="BTY832" s="134"/>
      <c r="BTZ832" s="134"/>
      <c r="BUA832" s="134"/>
      <c r="BUB832" s="134"/>
      <c r="BUC832" s="134"/>
      <c r="BUD832" s="134"/>
      <c r="BUE832" s="134"/>
      <c r="BUF832" s="134"/>
      <c r="BUG832" s="134"/>
      <c r="BUH832" s="134"/>
      <c r="BUI832" s="134"/>
      <c r="BUJ832" s="134"/>
      <c r="BUK832" s="134"/>
      <c r="BUL832" s="134"/>
      <c r="BUM832" s="134"/>
      <c r="BUN832" s="134"/>
      <c r="BUO832" s="134"/>
      <c r="BUP832" s="134"/>
      <c r="BUQ832" s="134"/>
      <c r="BUR832" s="134"/>
      <c r="BUS832" s="134"/>
      <c r="BUT832" s="134"/>
      <c r="BUU832" s="134"/>
      <c r="BUV832" s="134"/>
      <c r="BUW832" s="134"/>
      <c r="BUX832" s="134"/>
      <c r="BUY832" s="134"/>
      <c r="BUZ832" s="134"/>
      <c r="BVA832" s="134"/>
      <c r="BVB832" s="134"/>
      <c r="BVC832" s="134"/>
      <c r="BVD832" s="134"/>
      <c r="BVE832" s="134"/>
      <c r="BVF832" s="134"/>
      <c r="BVG832" s="134"/>
      <c r="BVH832" s="134"/>
      <c r="BVI832" s="134"/>
      <c r="BVJ832" s="134"/>
      <c r="BVK832" s="134"/>
      <c r="BVL832" s="134"/>
      <c r="BVM832" s="134"/>
      <c r="BVN832" s="134"/>
      <c r="BVO832" s="134"/>
      <c r="BVP832" s="134"/>
      <c r="BVQ832" s="134"/>
      <c r="BVR832" s="134"/>
      <c r="BVS832" s="134"/>
      <c r="BVT832" s="134"/>
      <c r="BVU832" s="134"/>
      <c r="BVV832" s="134"/>
      <c r="BVW832" s="134"/>
      <c r="BVX832" s="134"/>
      <c r="BVY832" s="134"/>
      <c r="BVZ832" s="134"/>
      <c r="BWA832" s="134"/>
      <c r="BWB832" s="134"/>
      <c r="BWC832" s="134"/>
      <c r="BWD832" s="134"/>
      <c r="BWE832" s="134"/>
      <c r="BWF832" s="134"/>
      <c r="BWG832" s="134"/>
      <c r="BWH832" s="134"/>
      <c r="BWI832" s="134"/>
      <c r="BWJ832" s="134"/>
      <c r="BWK832" s="134"/>
      <c r="BWL832" s="134"/>
      <c r="BWM832" s="134"/>
      <c r="BWN832" s="134"/>
      <c r="BWO832" s="134"/>
      <c r="BWP832" s="134"/>
      <c r="BWQ832" s="134"/>
      <c r="BWR832" s="134"/>
      <c r="BWS832" s="134"/>
      <c r="BWT832" s="134"/>
      <c r="BWU832" s="134"/>
      <c r="BWV832" s="134"/>
      <c r="BWW832" s="134"/>
      <c r="BWX832" s="134"/>
      <c r="BWY832" s="134"/>
      <c r="BWZ832" s="134"/>
      <c r="BXA832" s="134"/>
      <c r="BXB832" s="134"/>
      <c r="BXC832" s="134"/>
      <c r="BXD832" s="134"/>
      <c r="BXE832" s="134"/>
      <c r="BXF832" s="134"/>
      <c r="BXG832" s="134"/>
      <c r="BXH832" s="134"/>
      <c r="BXI832" s="134"/>
      <c r="BXJ832" s="134"/>
      <c r="BXK832" s="134"/>
      <c r="BXL832" s="134"/>
      <c r="BXM832" s="134"/>
      <c r="BXN832" s="134"/>
      <c r="BXO832" s="134"/>
      <c r="BXP832" s="134"/>
      <c r="BXQ832" s="134"/>
      <c r="BXR832" s="134"/>
      <c r="BXS832" s="134"/>
      <c r="BXT832" s="134"/>
      <c r="BXU832" s="134"/>
      <c r="BXV832" s="134"/>
      <c r="BXW832" s="134"/>
      <c r="BXX832" s="134"/>
      <c r="BXY832" s="134"/>
      <c r="BXZ832" s="134"/>
      <c r="BYA832" s="134"/>
      <c r="BYB832" s="134"/>
      <c r="BYC832" s="134"/>
      <c r="BYD832" s="134"/>
      <c r="BYE832" s="134"/>
      <c r="BYF832" s="134"/>
      <c r="BYG832" s="134"/>
      <c r="BYH832" s="134"/>
      <c r="BYI832" s="134"/>
      <c r="BYJ832" s="134"/>
      <c r="BYK832" s="134"/>
      <c r="BYL832" s="134"/>
      <c r="BYM832" s="134"/>
      <c r="BYN832" s="134"/>
      <c r="BYO832" s="134"/>
      <c r="BYP832" s="134"/>
      <c r="BYQ832" s="134"/>
      <c r="BYR832" s="134"/>
      <c r="BYS832" s="134"/>
      <c r="BYT832" s="134"/>
      <c r="BYU832" s="134"/>
      <c r="BYV832" s="134"/>
      <c r="BYW832" s="134"/>
      <c r="BYX832" s="134"/>
      <c r="BYY832" s="134"/>
      <c r="BYZ832" s="134"/>
      <c r="BZA832" s="134"/>
      <c r="BZB832" s="134"/>
      <c r="BZC832" s="134"/>
      <c r="BZD832" s="134"/>
      <c r="BZE832" s="134"/>
      <c r="BZF832" s="134"/>
      <c r="BZG832" s="134"/>
      <c r="BZH832" s="134"/>
      <c r="BZI832" s="134"/>
      <c r="BZJ832" s="134"/>
      <c r="BZK832" s="134"/>
      <c r="BZL832" s="134"/>
      <c r="BZM832" s="134"/>
      <c r="BZN832" s="134"/>
      <c r="BZO832" s="134"/>
      <c r="BZP832" s="134"/>
      <c r="BZQ832" s="134"/>
      <c r="BZR832" s="134"/>
      <c r="BZS832" s="134"/>
      <c r="BZT832" s="134"/>
      <c r="BZU832" s="134"/>
      <c r="BZV832" s="134"/>
      <c r="BZW832" s="134"/>
      <c r="BZX832" s="134"/>
      <c r="BZY832" s="134"/>
      <c r="BZZ832" s="134"/>
      <c r="CAA832" s="134"/>
      <c r="CAB832" s="134"/>
      <c r="CAC832" s="134"/>
      <c r="CAD832" s="134"/>
      <c r="CAE832" s="134"/>
      <c r="CAF832" s="134"/>
      <c r="CAG832" s="134"/>
      <c r="CAH832" s="134"/>
      <c r="CAI832" s="134"/>
      <c r="CAJ832" s="134"/>
      <c r="CAK832" s="134"/>
      <c r="CAL832" s="134"/>
      <c r="CAM832" s="134"/>
      <c r="CAN832" s="134"/>
      <c r="CAO832" s="134"/>
      <c r="CAP832" s="134"/>
      <c r="CAQ832" s="134"/>
      <c r="CAR832" s="134"/>
      <c r="CAS832" s="134"/>
      <c r="CAT832" s="134"/>
      <c r="CAU832" s="134"/>
      <c r="CAV832" s="134"/>
      <c r="CAW832" s="134"/>
      <c r="CAX832" s="134"/>
      <c r="CAY832" s="134"/>
      <c r="CAZ832" s="134"/>
      <c r="CBA832" s="134"/>
      <c r="CBB832" s="134"/>
      <c r="CBC832" s="134"/>
      <c r="CBD832" s="134"/>
      <c r="CBE832" s="134"/>
      <c r="CBF832" s="134"/>
      <c r="CBG832" s="134"/>
      <c r="CBH832" s="134"/>
      <c r="CBI832" s="134"/>
      <c r="CBJ832" s="134"/>
      <c r="CBK832" s="134"/>
      <c r="CBL832" s="134"/>
      <c r="CBM832" s="134"/>
      <c r="CBN832" s="134"/>
      <c r="CBO832" s="134"/>
      <c r="CBP832" s="134"/>
      <c r="CBQ832" s="134"/>
      <c r="CBR832" s="134"/>
      <c r="CBS832" s="134"/>
      <c r="CBT832" s="134"/>
      <c r="CBU832" s="134"/>
      <c r="CBV832" s="134"/>
      <c r="CBW832" s="134"/>
      <c r="CBX832" s="134"/>
      <c r="CBY832" s="134"/>
      <c r="CBZ832" s="134"/>
      <c r="CCA832" s="134"/>
      <c r="CCB832" s="134"/>
      <c r="CCC832" s="134"/>
      <c r="CCD832" s="134"/>
      <c r="CCE832" s="134"/>
      <c r="CCF832" s="134"/>
      <c r="CCG832" s="134"/>
      <c r="CCH832" s="134"/>
      <c r="CCI832" s="134"/>
      <c r="CCJ832" s="134"/>
      <c r="CCK832" s="134"/>
      <c r="CCL832" s="134"/>
      <c r="CCM832" s="134"/>
      <c r="CCN832" s="134"/>
      <c r="CCO832" s="134"/>
      <c r="CCP832" s="134"/>
      <c r="CCQ832" s="134"/>
      <c r="CCR832" s="134"/>
      <c r="CCS832" s="134"/>
      <c r="CCT832" s="134"/>
      <c r="CCU832" s="134"/>
      <c r="CCV832" s="134"/>
      <c r="CCW832" s="134"/>
      <c r="CCX832" s="134"/>
      <c r="CCY832" s="134"/>
      <c r="CCZ832" s="134"/>
      <c r="CDA832" s="134"/>
      <c r="CDB832" s="134"/>
      <c r="CDC832" s="134"/>
      <c r="CDD832" s="134"/>
      <c r="CDE832" s="134"/>
      <c r="CDF832" s="134"/>
      <c r="CDG832" s="134"/>
      <c r="CDH832" s="134"/>
      <c r="CDI832" s="134"/>
      <c r="CDJ832" s="134"/>
      <c r="CDK832" s="134"/>
      <c r="CDL832" s="134"/>
      <c r="CDM832" s="134"/>
      <c r="CDN832" s="134"/>
      <c r="CDO832" s="134"/>
      <c r="CDP832" s="134"/>
      <c r="CDQ832" s="134"/>
      <c r="CDR832" s="134"/>
      <c r="CDS832" s="134"/>
      <c r="CDT832" s="134"/>
      <c r="CDU832" s="134"/>
      <c r="CDV832" s="134"/>
      <c r="CDW832" s="134"/>
      <c r="CDX832" s="134"/>
      <c r="CDY832" s="134"/>
      <c r="CDZ832" s="134"/>
      <c r="CEA832" s="134"/>
      <c r="CEB832" s="134"/>
      <c r="CEC832" s="134"/>
      <c r="CED832" s="134"/>
      <c r="CEE832" s="134"/>
      <c r="CEF832" s="134"/>
      <c r="CEG832" s="134"/>
      <c r="CEH832" s="134"/>
      <c r="CEI832" s="134"/>
      <c r="CEJ832" s="134"/>
      <c r="CEK832" s="134"/>
      <c r="CEL832" s="134"/>
      <c r="CEM832" s="134"/>
      <c r="CEN832" s="134"/>
      <c r="CEO832" s="134"/>
      <c r="CEP832" s="134"/>
      <c r="CEQ832" s="134"/>
      <c r="CER832" s="134"/>
      <c r="CES832" s="134"/>
      <c r="CET832" s="134"/>
      <c r="CEU832" s="134"/>
      <c r="CEV832" s="134"/>
      <c r="CEW832" s="134"/>
      <c r="CEX832" s="134"/>
      <c r="CEY832" s="134"/>
      <c r="CEZ832" s="134"/>
      <c r="CFA832" s="134"/>
      <c r="CFB832" s="134"/>
      <c r="CFC832" s="134"/>
      <c r="CFD832" s="134"/>
      <c r="CFE832" s="134"/>
      <c r="CFF832" s="134"/>
      <c r="CFG832" s="134"/>
      <c r="CFH832" s="134"/>
      <c r="CFI832" s="134"/>
      <c r="CFJ832" s="134"/>
      <c r="CFK832" s="134"/>
      <c r="CFL832" s="134"/>
      <c r="CFM832" s="134"/>
      <c r="CFN832" s="134"/>
      <c r="CFO832" s="134"/>
      <c r="CFP832" s="134"/>
      <c r="CFQ832" s="134"/>
      <c r="CFR832" s="134"/>
      <c r="CFS832" s="134"/>
      <c r="CFT832" s="134"/>
      <c r="CFU832" s="134"/>
      <c r="CFV832" s="134"/>
      <c r="CFW832" s="134"/>
      <c r="CFX832" s="134"/>
      <c r="CFY832" s="134"/>
      <c r="CFZ832" s="134"/>
      <c r="CGA832" s="134"/>
      <c r="CGB832" s="134"/>
      <c r="CGC832" s="134"/>
      <c r="CGD832" s="134"/>
      <c r="CGE832" s="134"/>
      <c r="CGF832" s="134"/>
      <c r="CGG832" s="134"/>
      <c r="CGH832" s="134"/>
      <c r="CGI832" s="134"/>
      <c r="CGJ832" s="134"/>
      <c r="CGK832" s="134"/>
      <c r="CGL832" s="134"/>
      <c r="CGM832" s="134"/>
      <c r="CGN832" s="134"/>
      <c r="CGO832" s="134"/>
      <c r="CGP832" s="134"/>
      <c r="CGQ832" s="134"/>
      <c r="CGR832" s="134"/>
      <c r="CGS832" s="134"/>
      <c r="CGT832" s="134"/>
      <c r="CGU832" s="134"/>
      <c r="CGV832" s="134"/>
      <c r="CGW832" s="134"/>
      <c r="CGX832" s="134"/>
      <c r="CGY832" s="134"/>
      <c r="CGZ832" s="134"/>
      <c r="CHA832" s="134"/>
      <c r="CHB832" s="134"/>
      <c r="CHC832" s="134"/>
      <c r="CHD832" s="134"/>
      <c r="CHE832" s="134"/>
      <c r="CHF832" s="134"/>
      <c r="CHG832" s="134"/>
      <c r="CHH832" s="134"/>
      <c r="CHI832" s="134"/>
      <c r="CHJ832" s="134"/>
      <c r="CHK832" s="134"/>
      <c r="CHL832" s="134"/>
      <c r="CHM832" s="134"/>
      <c r="CHN832" s="134"/>
      <c r="CHO832" s="134"/>
      <c r="CHP832" s="134"/>
      <c r="CHQ832" s="134"/>
      <c r="CHR832" s="134"/>
      <c r="CHS832" s="134"/>
      <c r="CHT832" s="134"/>
      <c r="CHU832" s="134"/>
      <c r="CHV832" s="134"/>
      <c r="CHW832" s="134"/>
      <c r="CHX832" s="134"/>
      <c r="CHY832" s="134"/>
      <c r="CHZ832" s="134"/>
      <c r="CIA832" s="134"/>
      <c r="CIB832" s="134"/>
      <c r="CIC832" s="134"/>
      <c r="CID832" s="134"/>
      <c r="CIE832" s="134"/>
      <c r="CIF832" s="134"/>
      <c r="CIG832" s="134"/>
      <c r="CIH832" s="134"/>
      <c r="CII832" s="134"/>
      <c r="CIJ832" s="134"/>
      <c r="CIK832" s="134"/>
      <c r="CIL832" s="134"/>
      <c r="CIM832" s="134"/>
      <c r="CIN832" s="134"/>
      <c r="CIO832" s="134"/>
      <c r="CIP832" s="134"/>
      <c r="CIQ832" s="134"/>
      <c r="CIR832" s="134"/>
      <c r="CIS832" s="134"/>
      <c r="CIT832" s="134"/>
      <c r="CIU832" s="134"/>
      <c r="CIV832" s="134"/>
      <c r="CIW832" s="134"/>
      <c r="CIX832" s="134"/>
      <c r="CIY832" s="134"/>
      <c r="CIZ832" s="134"/>
      <c r="CJA832" s="134"/>
      <c r="CJB832" s="134"/>
      <c r="CJC832" s="134"/>
      <c r="CJD832" s="134"/>
      <c r="CJE832" s="134"/>
      <c r="CJF832" s="134"/>
      <c r="CJG832" s="134"/>
      <c r="CJH832" s="134"/>
      <c r="CJI832" s="134"/>
      <c r="CJJ832" s="134"/>
      <c r="CJK832" s="134"/>
      <c r="CJL832" s="134"/>
      <c r="CJM832" s="134"/>
      <c r="CJN832" s="134"/>
      <c r="CJO832" s="134"/>
      <c r="CJP832" s="134"/>
      <c r="CJQ832" s="134"/>
      <c r="CJR832" s="134"/>
      <c r="CJS832" s="134"/>
      <c r="CJT832" s="134"/>
      <c r="CJU832" s="134"/>
      <c r="CJV832" s="134"/>
      <c r="CJW832" s="134"/>
      <c r="CJX832" s="134"/>
      <c r="CJY832" s="134"/>
      <c r="CJZ832" s="134"/>
      <c r="CKA832" s="134"/>
      <c r="CKB832" s="134"/>
      <c r="CKC832" s="134"/>
      <c r="CKD832" s="134"/>
      <c r="CKE832" s="134"/>
      <c r="CKF832" s="134"/>
      <c r="CKG832" s="134"/>
      <c r="CKH832" s="134"/>
      <c r="CKI832" s="134"/>
      <c r="CKJ832" s="134"/>
      <c r="CKK832" s="134"/>
      <c r="CKL832" s="134"/>
      <c r="CKM832" s="134"/>
      <c r="CKN832" s="134"/>
      <c r="CKO832" s="134"/>
      <c r="CKP832" s="134"/>
      <c r="CKQ832" s="134"/>
      <c r="CKR832" s="134"/>
      <c r="CKS832" s="134"/>
      <c r="CKT832" s="134"/>
      <c r="CKU832" s="134"/>
      <c r="CKV832" s="134"/>
      <c r="CKW832" s="134"/>
      <c r="CKX832" s="134"/>
      <c r="CKY832" s="134"/>
      <c r="CKZ832" s="134"/>
      <c r="CLA832" s="134"/>
      <c r="CLB832" s="134"/>
      <c r="CLC832" s="134"/>
      <c r="CLD832" s="134"/>
      <c r="CLE832" s="134"/>
      <c r="CLF832" s="134"/>
      <c r="CLG832" s="134"/>
      <c r="CLH832" s="134"/>
      <c r="CLI832" s="134"/>
      <c r="CLJ832" s="134"/>
      <c r="CLK832" s="134"/>
      <c r="CLL832" s="134"/>
      <c r="CLM832" s="134"/>
      <c r="CLN832" s="134"/>
      <c r="CLO832" s="134"/>
      <c r="CLP832" s="134"/>
      <c r="CLQ832" s="134"/>
      <c r="CLR832" s="134"/>
      <c r="CLS832" s="134"/>
      <c r="CLT832" s="134"/>
      <c r="CLU832" s="134"/>
      <c r="CLV832" s="134"/>
      <c r="CLW832" s="134"/>
      <c r="CLX832" s="134"/>
      <c r="CLY832" s="134"/>
      <c r="CLZ832" s="134"/>
      <c r="CMA832" s="134"/>
      <c r="CMB832" s="134"/>
      <c r="CMC832" s="134"/>
      <c r="CMD832" s="134"/>
      <c r="CME832" s="134"/>
      <c r="CMF832" s="134"/>
      <c r="CMG832" s="134"/>
      <c r="CMH832" s="134"/>
      <c r="CMI832" s="134"/>
      <c r="CMJ832" s="134"/>
      <c r="CMK832" s="134"/>
      <c r="CML832" s="134"/>
      <c r="CMM832" s="134"/>
      <c r="CMN832" s="134"/>
      <c r="CMO832" s="134"/>
      <c r="CMP832" s="134"/>
      <c r="CMQ832" s="134"/>
      <c r="CMR832" s="134"/>
      <c r="CMS832" s="134"/>
      <c r="CMT832" s="134"/>
      <c r="CMU832" s="134"/>
      <c r="CMV832" s="134"/>
      <c r="CMW832" s="134"/>
      <c r="CMX832" s="134"/>
      <c r="CMY832" s="134"/>
      <c r="CMZ832" s="134"/>
      <c r="CNA832" s="134"/>
      <c r="CNB832" s="134"/>
      <c r="CNC832" s="134"/>
      <c r="CND832" s="134"/>
      <c r="CNE832" s="134"/>
      <c r="CNF832" s="134"/>
      <c r="CNG832" s="134"/>
      <c r="CNH832" s="134"/>
      <c r="CNI832" s="134"/>
      <c r="CNJ832" s="134"/>
      <c r="CNK832" s="134"/>
      <c r="CNL832" s="134"/>
      <c r="CNM832" s="134"/>
      <c r="CNN832" s="134"/>
      <c r="CNO832" s="134"/>
      <c r="CNP832" s="134"/>
      <c r="CNQ832" s="134"/>
      <c r="CNR832" s="134"/>
      <c r="CNS832" s="134"/>
      <c r="CNT832" s="134"/>
      <c r="CNU832" s="134"/>
      <c r="CNV832" s="134"/>
      <c r="CNW832" s="134"/>
      <c r="CNX832" s="134"/>
      <c r="CNY832" s="134"/>
      <c r="CNZ832" s="134"/>
      <c r="COA832" s="134"/>
      <c r="COB832" s="134"/>
      <c r="COC832" s="134"/>
      <c r="COD832" s="134"/>
      <c r="COE832" s="134"/>
      <c r="COF832" s="134"/>
      <c r="COG832" s="134"/>
      <c r="COH832" s="134"/>
      <c r="COI832" s="134"/>
      <c r="COJ832" s="134"/>
      <c r="COK832" s="134"/>
      <c r="COL832" s="134"/>
      <c r="COM832" s="134"/>
      <c r="CON832" s="134"/>
      <c r="COO832" s="134"/>
      <c r="COP832" s="134"/>
      <c r="COQ832" s="134"/>
      <c r="COR832" s="134"/>
      <c r="COS832" s="134"/>
      <c r="COT832" s="134"/>
      <c r="COU832" s="134"/>
      <c r="COV832" s="134"/>
      <c r="COW832" s="134"/>
      <c r="COX832" s="134"/>
      <c r="COY832" s="134"/>
      <c r="COZ832" s="134"/>
      <c r="CPA832" s="134"/>
      <c r="CPB832" s="134"/>
      <c r="CPC832" s="134"/>
      <c r="CPD832" s="134"/>
      <c r="CPE832" s="134"/>
      <c r="CPF832" s="134"/>
      <c r="CPG832" s="134"/>
      <c r="CPH832" s="134"/>
      <c r="CPI832" s="134"/>
      <c r="CPJ832" s="134"/>
      <c r="CPK832" s="134"/>
      <c r="CPL832" s="134"/>
      <c r="CPM832" s="134"/>
      <c r="CPN832" s="134"/>
      <c r="CPO832" s="134"/>
      <c r="CPP832" s="134"/>
      <c r="CPQ832" s="134"/>
      <c r="CPR832" s="134"/>
      <c r="CPS832" s="134"/>
      <c r="CPT832" s="134"/>
      <c r="CPU832" s="134"/>
      <c r="CPV832" s="134"/>
      <c r="CPW832" s="134"/>
      <c r="CPX832" s="134"/>
      <c r="CPY832" s="134"/>
      <c r="CPZ832" s="134"/>
      <c r="CQA832" s="134"/>
      <c r="CQB832" s="134"/>
      <c r="CQC832" s="134"/>
      <c r="CQD832" s="134"/>
      <c r="CQE832" s="134"/>
      <c r="CQF832" s="134"/>
      <c r="CQG832" s="134"/>
      <c r="CQH832" s="134"/>
      <c r="CQI832" s="134"/>
      <c r="CQJ832" s="134"/>
      <c r="CQK832" s="134"/>
      <c r="CQL832" s="134"/>
      <c r="CQM832" s="134"/>
      <c r="CQN832" s="134"/>
      <c r="CQO832" s="134"/>
      <c r="CQP832" s="134"/>
      <c r="CQQ832" s="134"/>
      <c r="CQR832" s="134"/>
      <c r="CQS832" s="134"/>
      <c r="CQT832" s="134"/>
      <c r="CQU832" s="134"/>
      <c r="CQV832" s="134"/>
      <c r="CQW832" s="134"/>
      <c r="CQX832" s="134"/>
      <c r="CQY832" s="134"/>
      <c r="CQZ832" s="134"/>
      <c r="CRA832" s="134"/>
      <c r="CRB832" s="134"/>
      <c r="CRC832" s="134"/>
      <c r="CRD832" s="134"/>
      <c r="CRE832" s="134"/>
      <c r="CRF832" s="134"/>
      <c r="CRG832" s="134"/>
      <c r="CRH832" s="134"/>
      <c r="CRI832" s="134"/>
      <c r="CRJ832" s="134"/>
      <c r="CRK832" s="134"/>
      <c r="CRL832" s="134"/>
      <c r="CRM832" s="134"/>
      <c r="CRN832" s="134"/>
      <c r="CRO832" s="134"/>
      <c r="CRP832" s="134"/>
      <c r="CRQ832" s="134"/>
      <c r="CRR832" s="134"/>
      <c r="CRS832" s="134"/>
      <c r="CRT832" s="134"/>
      <c r="CRU832" s="134"/>
      <c r="CRV832" s="134"/>
      <c r="CRW832" s="134"/>
      <c r="CRX832" s="134"/>
      <c r="CRY832" s="134"/>
      <c r="CRZ832" s="134"/>
      <c r="CSA832" s="134"/>
      <c r="CSB832" s="134"/>
      <c r="CSC832" s="134"/>
      <c r="CSD832" s="134"/>
      <c r="CSE832" s="134"/>
      <c r="CSF832" s="134"/>
      <c r="CSG832" s="134"/>
      <c r="CSH832" s="134"/>
      <c r="CSI832" s="134"/>
      <c r="CSJ832" s="134"/>
      <c r="CSK832" s="134"/>
      <c r="CSL832" s="134"/>
      <c r="CSM832" s="134"/>
      <c r="CSN832" s="134"/>
      <c r="CSO832" s="134"/>
      <c r="CSP832" s="134"/>
      <c r="CSQ832" s="134"/>
      <c r="CSR832" s="134"/>
      <c r="CSS832" s="134"/>
      <c r="CST832" s="134"/>
      <c r="CSU832" s="134"/>
      <c r="CSV832" s="134"/>
      <c r="CSW832" s="134"/>
      <c r="CSX832" s="134"/>
      <c r="CSY832" s="134"/>
      <c r="CSZ832" s="134"/>
      <c r="CTA832" s="134"/>
      <c r="CTB832" s="134"/>
      <c r="CTC832" s="134"/>
      <c r="CTD832" s="134"/>
      <c r="CTE832" s="134"/>
      <c r="CTF832" s="134"/>
      <c r="CTG832" s="134"/>
      <c r="CTH832" s="134"/>
      <c r="CTI832" s="134"/>
      <c r="CTJ832" s="134"/>
      <c r="CTK832" s="134"/>
      <c r="CTL832" s="134"/>
      <c r="CTM832" s="134"/>
      <c r="CTN832" s="134"/>
      <c r="CTO832" s="134"/>
      <c r="CTP832" s="134"/>
      <c r="CTQ832" s="134"/>
      <c r="CTR832" s="134"/>
      <c r="CTS832" s="134"/>
      <c r="CTT832" s="134"/>
      <c r="CTU832" s="134"/>
      <c r="CTV832" s="134"/>
      <c r="CTW832" s="134"/>
      <c r="CTX832" s="134"/>
      <c r="CTY832" s="134"/>
      <c r="CTZ832" s="134"/>
      <c r="CUA832" s="134"/>
      <c r="CUB832" s="134"/>
      <c r="CUC832" s="134"/>
      <c r="CUD832" s="134"/>
      <c r="CUE832" s="134"/>
      <c r="CUF832" s="134"/>
      <c r="CUG832" s="134"/>
      <c r="CUH832" s="134"/>
      <c r="CUI832" s="134"/>
      <c r="CUJ832" s="134"/>
      <c r="CUK832" s="134"/>
      <c r="CUL832" s="134"/>
      <c r="CUM832" s="134"/>
      <c r="CUN832" s="134"/>
      <c r="CUO832" s="134"/>
      <c r="CUP832" s="134"/>
      <c r="CUQ832" s="134"/>
      <c r="CUR832" s="134"/>
      <c r="CUS832" s="134"/>
      <c r="CUT832" s="134"/>
      <c r="CUU832" s="134"/>
      <c r="CUV832" s="134"/>
      <c r="CUW832" s="134"/>
      <c r="CUX832" s="134"/>
      <c r="CUY832" s="134"/>
      <c r="CUZ832" s="134"/>
      <c r="CVA832" s="134"/>
      <c r="CVB832" s="134"/>
      <c r="CVC832" s="134"/>
      <c r="CVD832" s="134"/>
      <c r="CVE832" s="134"/>
      <c r="CVF832" s="134"/>
      <c r="CVG832" s="134"/>
      <c r="CVH832" s="134"/>
      <c r="CVI832" s="134"/>
      <c r="CVJ832" s="134"/>
      <c r="CVK832" s="134"/>
      <c r="CVL832" s="134"/>
      <c r="CVM832" s="134"/>
      <c r="CVN832" s="134"/>
      <c r="CVO832" s="134"/>
      <c r="CVP832" s="134"/>
      <c r="CVQ832" s="134"/>
      <c r="CVR832" s="134"/>
      <c r="CVS832" s="134"/>
      <c r="CVT832" s="134"/>
      <c r="CVU832" s="134"/>
      <c r="CVV832" s="134"/>
      <c r="CVW832" s="134"/>
      <c r="CVX832" s="134"/>
      <c r="CVY832" s="134"/>
      <c r="CVZ832" s="134"/>
      <c r="CWA832" s="134"/>
      <c r="CWB832" s="134"/>
      <c r="CWC832" s="134"/>
      <c r="CWD832" s="134"/>
      <c r="CWE832" s="134"/>
      <c r="CWF832" s="134"/>
      <c r="CWG832" s="134"/>
      <c r="CWH832" s="134"/>
      <c r="CWI832" s="134"/>
      <c r="CWJ832" s="134"/>
      <c r="CWK832" s="134"/>
      <c r="CWL832" s="134"/>
      <c r="CWM832" s="134"/>
      <c r="CWN832" s="134"/>
      <c r="CWO832" s="134"/>
      <c r="CWP832" s="134"/>
      <c r="CWQ832" s="134"/>
      <c r="CWR832" s="134"/>
      <c r="CWS832" s="134"/>
      <c r="CWT832" s="134"/>
      <c r="CWU832" s="134"/>
      <c r="CWV832" s="134"/>
      <c r="CWW832" s="134"/>
      <c r="CWX832" s="134"/>
      <c r="CWY832" s="134"/>
      <c r="CWZ832" s="134"/>
      <c r="CXA832" s="134"/>
      <c r="CXB832" s="134"/>
      <c r="CXC832" s="134"/>
      <c r="CXD832" s="134"/>
      <c r="CXE832" s="134"/>
      <c r="CXF832" s="134"/>
      <c r="CXG832" s="134"/>
      <c r="CXH832" s="134"/>
      <c r="CXI832" s="134"/>
      <c r="CXJ832" s="134"/>
      <c r="CXK832" s="134"/>
      <c r="CXL832" s="134"/>
      <c r="CXM832" s="134"/>
      <c r="CXN832" s="134"/>
      <c r="CXO832" s="134"/>
      <c r="CXP832" s="134"/>
      <c r="CXQ832" s="134"/>
      <c r="CXR832" s="134"/>
      <c r="CXS832" s="134"/>
      <c r="CXT832" s="134"/>
      <c r="CXU832" s="134"/>
      <c r="CXV832" s="134"/>
      <c r="CXW832" s="134"/>
      <c r="CXX832" s="134"/>
      <c r="CXY832" s="134"/>
      <c r="CXZ832" s="134"/>
      <c r="CYA832" s="134"/>
      <c r="CYB832" s="134"/>
      <c r="CYC832" s="134"/>
      <c r="CYD832" s="134"/>
      <c r="CYE832" s="134"/>
      <c r="CYF832" s="134"/>
      <c r="CYG832" s="134"/>
      <c r="CYH832" s="134"/>
      <c r="CYI832" s="134"/>
      <c r="CYJ832" s="134"/>
      <c r="CYK832" s="134"/>
      <c r="CYL832" s="134"/>
      <c r="CYM832" s="134"/>
      <c r="CYN832" s="134"/>
      <c r="CYO832" s="134"/>
      <c r="CYP832" s="134"/>
      <c r="CYQ832" s="134"/>
      <c r="CYR832" s="134"/>
      <c r="CYS832" s="134"/>
      <c r="CYT832" s="134"/>
      <c r="CYU832" s="134"/>
      <c r="CYV832" s="134"/>
      <c r="CYW832" s="134"/>
      <c r="CYX832" s="134"/>
      <c r="CYY832" s="134"/>
      <c r="CYZ832" s="134"/>
      <c r="CZA832" s="134"/>
      <c r="CZB832" s="134"/>
      <c r="CZC832" s="134"/>
      <c r="CZD832" s="134"/>
      <c r="CZE832" s="134"/>
      <c r="CZF832" s="134"/>
      <c r="CZG832" s="134"/>
      <c r="CZH832" s="134"/>
      <c r="CZI832" s="134"/>
      <c r="CZJ832" s="134"/>
      <c r="CZK832" s="134"/>
      <c r="CZL832" s="134"/>
      <c r="CZM832" s="134"/>
      <c r="CZN832" s="134"/>
      <c r="CZO832" s="134"/>
      <c r="CZP832" s="134"/>
      <c r="CZQ832" s="134"/>
      <c r="CZR832" s="134"/>
      <c r="CZS832" s="134"/>
      <c r="CZT832" s="134"/>
      <c r="CZU832" s="134"/>
      <c r="CZV832" s="134"/>
      <c r="CZW832" s="134"/>
      <c r="CZX832" s="134"/>
      <c r="CZY832" s="134"/>
      <c r="CZZ832" s="134"/>
      <c r="DAA832" s="134"/>
      <c r="DAB832" s="134"/>
      <c r="DAC832" s="134"/>
      <c r="DAD832" s="134"/>
      <c r="DAE832" s="134"/>
      <c r="DAF832" s="134"/>
      <c r="DAG832" s="134"/>
      <c r="DAH832" s="134"/>
      <c r="DAI832" s="134"/>
      <c r="DAJ832" s="134"/>
      <c r="DAK832" s="134"/>
      <c r="DAL832" s="134"/>
      <c r="DAM832" s="134"/>
      <c r="DAN832" s="134"/>
      <c r="DAO832" s="134"/>
      <c r="DAP832" s="134"/>
      <c r="DAQ832" s="134"/>
      <c r="DAR832" s="134"/>
      <c r="DAS832" s="134"/>
      <c r="DAT832" s="134"/>
      <c r="DAU832" s="134"/>
      <c r="DAV832" s="134"/>
      <c r="DAW832" s="134"/>
      <c r="DAX832" s="134"/>
      <c r="DAY832" s="134"/>
      <c r="DAZ832" s="134"/>
      <c r="DBA832" s="134"/>
      <c r="DBB832" s="134"/>
      <c r="DBC832" s="134"/>
      <c r="DBD832" s="134"/>
      <c r="DBE832" s="134"/>
      <c r="DBF832" s="134"/>
      <c r="DBG832" s="134"/>
      <c r="DBH832" s="134"/>
      <c r="DBI832" s="134"/>
      <c r="DBJ832" s="134"/>
      <c r="DBK832" s="134"/>
      <c r="DBL832" s="134"/>
      <c r="DBM832" s="134"/>
      <c r="DBN832" s="134"/>
      <c r="DBO832" s="134"/>
      <c r="DBP832" s="134"/>
      <c r="DBQ832" s="134"/>
      <c r="DBR832" s="134"/>
      <c r="DBS832" s="134"/>
      <c r="DBT832" s="134"/>
      <c r="DBU832" s="134"/>
      <c r="DBV832" s="134"/>
      <c r="DBW832" s="134"/>
      <c r="DBX832" s="134"/>
      <c r="DBY832" s="134"/>
      <c r="DBZ832" s="134"/>
      <c r="DCA832" s="134"/>
      <c r="DCB832" s="134"/>
      <c r="DCC832" s="134"/>
      <c r="DCD832" s="134"/>
      <c r="DCE832" s="134"/>
      <c r="DCF832" s="134"/>
      <c r="DCG832" s="134"/>
      <c r="DCH832" s="134"/>
      <c r="DCI832" s="134"/>
      <c r="DCJ832" s="134"/>
      <c r="DCK832" s="134"/>
      <c r="DCL832" s="134"/>
      <c r="DCM832" s="134"/>
      <c r="DCN832" s="134"/>
      <c r="DCO832" s="134"/>
      <c r="DCP832" s="134"/>
      <c r="DCQ832" s="134"/>
      <c r="DCR832" s="134"/>
      <c r="DCS832" s="134"/>
      <c r="DCT832" s="134"/>
      <c r="DCU832" s="134"/>
      <c r="DCV832" s="134"/>
      <c r="DCW832" s="134"/>
      <c r="DCX832" s="134"/>
      <c r="DCY832" s="134"/>
      <c r="DCZ832" s="134"/>
      <c r="DDA832" s="134"/>
      <c r="DDB832" s="134"/>
      <c r="DDC832" s="134"/>
      <c r="DDD832" s="134"/>
      <c r="DDE832" s="134"/>
      <c r="DDF832" s="134"/>
      <c r="DDG832" s="134"/>
      <c r="DDH832" s="134"/>
      <c r="DDI832" s="134"/>
      <c r="DDJ832" s="134"/>
      <c r="DDK832" s="134"/>
      <c r="DDL832" s="134"/>
      <c r="DDM832" s="134"/>
      <c r="DDN832" s="134"/>
      <c r="DDO832" s="134"/>
      <c r="DDP832" s="134"/>
      <c r="DDQ832" s="134"/>
      <c r="DDR832" s="134"/>
      <c r="DDS832" s="134"/>
      <c r="DDT832" s="134"/>
      <c r="DDU832" s="134"/>
      <c r="DDV832" s="134"/>
      <c r="DDW832" s="134"/>
      <c r="DDX832" s="134"/>
      <c r="DDY832" s="134"/>
      <c r="DDZ832" s="134"/>
      <c r="DEA832" s="134"/>
      <c r="DEB832" s="134"/>
      <c r="DEC832" s="134"/>
      <c r="DED832" s="134"/>
      <c r="DEE832" s="134"/>
      <c r="DEF832" s="134"/>
      <c r="DEG832" s="134"/>
      <c r="DEH832" s="134"/>
      <c r="DEI832" s="134"/>
      <c r="DEJ832" s="134"/>
      <c r="DEK832" s="134"/>
      <c r="DEL832" s="134"/>
      <c r="DEM832" s="134"/>
      <c r="DEN832" s="134"/>
      <c r="DEO832" s="134"/>
      <c r="DEP832" s="134"/>
      <c r="DEQ832" s="134"/>
      <c r="DER832" s="134"/>
      <c r="DES832" s="134"/>
      <c r="DET832" s="134"/>
      <c r="DEU832" s="134"/>
      <c r="DEV832" s="134"/>
      <c r="DEW832" s="134"/>
      <c r="DEX832" s="134"/>
      <c r="DEY832" s="134"/>
      <c r="DEZ832" s="134"/>
      <c r="DFA832" s="134"/>
      <c r="DFB832" s="134"/>
      <c r="DFC832" s="134"/>
      <c r="DFD832" s="134"/>
      <c r="DFE832" s="134"/>
      <c r="DFF832" s="134"/>
      <c r="DFG832" s="134"/>
      <c r="DFH832" s="134"/>
      <c r="DFI832" s="134"/>
      <c r="DFJ832" s="134"/>
      <c r="DFK832" s="134"/>
      <c r="DFL832" s="134"/>
      <c r="DFM832" s="134"/>
      <c r="DFN832" s="134"/>
      <c r="DFO832" s="134"/>
      <c r="DFP832" s="134"/>
      <c r="DFQ832" s="134"/>
      <c r="DFR832" s="134"/>
      <c r="DFS832" s="134"/>
      <c r="DFT832" s="134"/>
      <c r="DFU832" s="134"/>
      <c r="DFV832" s="134"/>
      <c r="DFW832" s="134"/>
      <c r="DFX832" s="134"/>
      <c r="DFY832" s="134"/>
      <c r="DFZ832" s="134"/>
      <c r="DGA832" s="134"/>
      <c r="DGB832" s="134"/>
      <c r="DGC832" s="134"/>
      <c r="DGD832" s="134"/>
      <c r="DGE832" s="134"/>
      <c r="DGF832" s="134"/>
      <c r="DGG832" s="134"/>
      <c r="DGH832" s="134"/>
      <c r="DGI832" s="134"/>
      <c r="DGJ832" s="134"/>
      <c r="DGK832" s="134"/>
      <c r="DGL832" s="134"/>
      <c r="DGM832" s="134"/>
      <c r="DGN832" s="134"/>
      <c r="DGO832" s="134"/>
      <c r="DGP832" s="134"/>
      <c r="DGQ832" s="134"/>
      <c r="DGR832" s="134"/>
      <c r="DGS832" s="134"/>
      <c r="DGT832" s="134"/>
      <c r="DGU832" s="134"/>
      <c r="DGV832" s="134"/>
      <c r="DGW832" s="134"/>
      <c r="DGX832" s="134"/>
      <c r="DGY832" s="134"/>
      <c r="DGZ832" s="134"/>
      <c r="DHA832" s="134"/>
      <c r="DHB832" s="134"/>
      <c r="DHC832" s="134"/>
      <c r="DHD832" s="134"/>
      <c r="DHE832" s="134"/>
      <c r="DHF832" s="134"/>
      <c r="DHG832" s="134"/>
      <c r="DHH832" s="134"/>
      <c r="DHI832" s="134"/>
      <c r="DHJ832" s="134"/>
      <c r="DHK832" s="134"/>
      <c r="DHL832" s="134"/>
      <c r="DHM832" s="134"/>
      <c r="DHN832" s="134"/>
      <c r="DHO832" s="134"/>
      <c r="DHP832" s="134"/>
      <c r="DHQ832" s="134"/>
      <c r="DHR832" s="134"/>
      <c r="DHS832" s="134"/>
      <c r="DHT832" s="134"/>
      <c r="DHU832" s="134"/>
      <c r="DHV832" s="134"/>
      <c r="DHW832" s="134"/>
      <c r="DHX832" s="134"/>
      <c r="DHY832" s="134"/>
      <c r="DHZ832" s="134"/>
      <c r="DIA832" s="134"/>
      <c r="DIB832" s="134"/>
      <c r="DIC832" s="134"/>
      <c r="DID832" s="134"/>
      <c r="DIE832" s="134"/>
      <c r="DIF832" s="134"/>
      <c r="DIG832" s="134"/>
      <c r="DIH832" s="134"/>
      <c r="DII832" s="134"/>
      <c r="DIJ832" s="134"/>
      <c r="DIK832" s="134"/>
      <c r="DIL832" s="134"/>
      <c r="DIM832" s="134"/>
      <c r="DIN832" s="134"/>
      <c r="DIO832" s="134"/>
      <c r="DIP832" s="134"/>
      <c r="DIQ832" s="134"/>
      <c r="DIR832" s="134"/>
      <c r="DIS832" s="134"/>
      <c r="DIT832" s="134"/>
      <c r="DIU832" s="134"/>
      <c r="DIV832" s="134"/>
      <c r="DIW832" s="134"/>
      <c r="DIX832" s="134"/>
      <c r="DIY832" s="134"/>
      <c r="DIZ832" s="134"/>
      <c r="DJA832" s="134"/>
      <c r="DJB832" s="134"/>
      <c r="DJC832" s="134"/>
      <c r="DJD832" s="134"/>
      <c r="DJE832" s="134"/>
      <c r="DJF832" s="134"/>
      <c r="DJG832" s="134"/>
      <c r="DJH832" s="134"/>
      <c r="DJI832" s="134"/>
      <c r="DJJ832" s="134"/>
      <c r="DJK832" s="134"/>
      <c r="DJL832" s="134"/>
      <c r="DJM832" s="134"/>
      <c r="DJN832" s="134"/>
      <c r="DJO832" s="134"/>
      <c r="DJP832" s="134"/>
      <c r="DJQ832" s="134"/>
      <c r="DJR832" s="134"/>
      <c r="DJS832" s="134"/>
      <c r="DJT832" s="134"/>
      <c r="DJU832" s="134"/>
      <c r="DJV832" s="134"/>
      <c r="DJW832" s="134"/>
      <c r="DJX832" s="134"/>
      <c r="DJY832" s="134"/>
      <c r="DJZ832" s="134"/>
      <c r="DKA832" s="134"/>
      <c r="DKB832" s="134"/>
      <c r="DKC832" s="134"/>
      <c r="DKD832" s="134"/>
      <c r="DKE832" s="134"/>
      <c r="DKF832" s="134"/>
      <c r="DKG832" s="134"/>
      <c r="DKH832" s="134"/>
      <c r="DKI832" s="134"/>
      <c r="DKJ832" s="134"/>
      <c r="DKK832" s="134"/>
      <c r="DKL832" s="134"/>
      <c r="DKM832" s="134"/>
      <c r="DKN832" s="134"/>
      <c r="DKO832" s="134"/>
      <c r="DKP832" s="134"/>
      <c r="DKQ832" s="134"/>
      <c r="DKR832" s="134"/>
      <c r="DKS832" s="134"/>
      <c r="DKT832" s="134"/>
      <c r="DKU832" s="134"/>
      <c r="DKV832" s="134"/>
      <c r="DKW832" s="134"/>
      <c r="DKX832" s="134"/>
      <c r="DKY832" s="134"/>
      <c r="DKZ832" s="134"/>
      <c r="DLA832" s="134"/>
      <c r="DLB832" s="134"/>
      <c r="DLC832" s="134"/>
      <c r="DLD832" s="134"/>
      <c r="DLE832" s="134"/>
      <c r="DLF832" s="134"/>
      <c r="DLG832" s="134"/>
      <c r="DLH832" s="134"/>
      <c r="DLI832" s="134"/>
      <c r="DLJ832" s="134"/>
      <c r="DLK832" s="134"/>
      <c r="DLL832" s="134"/>
      <c r="DLM832" s="134"/>
      <c r="DLN832" s="134"/>
      <c r="DLO832" s="134"/>
      <c r="DLP832" s="134"/>
      <c r="DLQ832" s="134"/>
      <c r="DLR832" s="134"/>
      <c r="DLS832" s="134"/>
      <c r="DLT832" s="134"/>
      <c r="DLU832" s="134"/>
      <c r="DLV832" s="134"/>
      <c r="DLW832" s="134"/>
      <c r="DLX832" s="134"/>
      <c r="DLY832" s="134"/>
      <c r="DLZ832" s="134"/>
      <c r="DMA832" s="134"/>
      <c r="DMB832" s="134"/>
      <c r="DMC832" s="134"/>
      <c r="DMD832" s="134"/>
      <c r="DME832" s="134"/>
      <c r="DMF832" s="134"/>
      <c r="DMG832" s="134"/>
      <c r="DMH832" s="134"/>
      <c r="DMI832" s="134"/>
      <c r="DMJ832" s="134"/>
      <c r="DMK832" s="134"/>
      <c r="DML832" s="134"/>
      <c r="DMM832" s="134"/>
      <c r="DMN832" s="134"/>
      <c r="DMO832" s="134"/>
      <c r="DMP832" s="134"/>
      <c r="DMQ832" s="134"/>
      <c r="DMR832" s="134"/>
      <c r="DMS832" s="134"/>
      <c r="DMT832" s="134"/>
      <c r="DMU832" s="134"/>
      <c r="DMV832" s="134"/>
      <c r="DMW832" s="134"/>
      <c r="DMX832" s="134"/>
      <c r="DMY832" s="134"/>
      <c r="DMZ832" s="134"/>
      <c r="DNA832" s="134"/>
      <c r="DNB832" s="134"/>
      <c r="DNC832" s="134"/>
      <c r="DND832" s="134"/>
      <c r="DNE832" s="134"/>
      <c r="DNF832" s="134"/>
      <c r="DNG832" s="134"/>
      <c r="DNH832" s="134"/>
      <c r="DNI832" s="134"/>
      <c r="DNJ832" s="134"/>
      <c r="DNK832" s="134"/>
      <c r="DNL832" s="134"/>
      <c r="DNM832" s="134"/>
      <c r="DNN832" s="134"/>
      <c r="DNO832" s="134"/>
      <c r="DNP832" s="134"/>
      <c r="DNQ832" s="134"/>
      <c r="DNR832" s="134"/>
      <c r="DNS832" s="134"/>
      <c r="DNT832" s="134"/>
      <c r="DNU832" s="134"/>
      <c r="DNV832" s="134"/>
      <c r="DNW832" s="134"/>
      <c r="DNX832" s="134"/>
      <c r="DNY832" s="134"/>
      <c r="DNZ832" s="134"/>
      <c r="DOA832" s="134"/>
      <c r="DOB832" s="134"/>
      <c r="DOC832" s="134"/>
      <c r="DOD832" s="134"/>
      <c r="DOE832" s="134"/>
      <c r="DOF832" s="134"/>
      <c r="DOG832" s="134"/>
      <c r="DOH832" s="134"/>
      <c r="DOI832" s="134"/>
      <c r="DOJ832" s="134"/>
      <c r="DOK832" s="134"/>
      <c r="DOL832" s="134"/>
      <c r="DOM832" s="134"/>
      <c r="DON832" s="134"/>
      <c r="DOO832" s="134"/>
      <c r="DOP832" s="134"/>
      <c r="DOQ832" s="134"/>
      <c r="DOR832" s="134"/>
      <c r="DOS832" s="134"/>
      <c r="DOT832" s="134"/>
      <c r="DOU832" s="134"/>
      <c r="DOV832" s="134"/>
      <c r="DOW832" s="134"/>
      <c r="DOX832" s="134"/>
      <c r="DOY832" s="134"/>
      <c r="DOZ832" s="134"/>
      <c r="DPA832" s="134"/>
      <c r="DPB832" s="134"/>
      <c r="DPC832" s="134"/>
      <c r="DPD832" s="134"/>
      <c r="DPE832" s="134"/>
      <c r="DPF832" s="134"/>
      <c r="DPG832" s="134"/>
      <c r="DPH832" s="134"/>
      <c r="DPI832" s="134"/>
      <c r="DPJ832" s="134"/>
      <c r="DPK832" s="134"/>
      <c r="DPL832" s="134"/>
      <c r="DPM832" s="134"/>
      <c r="DPN832" s="134"/>
      <c r="DPO832" s="134"/>
      <c r="DPP832" s="134"/>
      <c r="DPQ832" s="134"/>
      <c r="DPR832" s="134"/>
      <c r="DPS832" s="134"/>
      <c r="DPT832" s="134"/>
      <c r="DPU832" s="134"/>
      <c r="DPV832" s="134"/>
      <c r="DPW832" s="134"/>
      <c r="DPX832" s="134"/>
      <c r="DPY832" s="134"/>
      <c r="DPZ832" s="134"/>
      <c r="DQA832" s="134"/>
      <c r="DQB832" s="134"/>
      <c r="DQC832" s="134"/>
      <c r="DQD832" s="134"/>
      <c r="DQE832" s="134"/>
      <c r="DQF832" s="134"/>
      <c r="DQG832" s="134"/>
      <c r="DQH832" s="134"/>
      <c r="DQI832" s="134"/>
      <c r="DQJ832" s="134"/>
      <c r="DQK832" s="134"/>
      <c r="DQL832" s="134"/>
      <c r="DQM832" s="134"/>
      <c r="DQN832" s="134"/>
      <c r="DQO832" s="134"/>
      <c r="DQP832" s="134"/>
      <c r="DQQ832" s="134"/>
      <c r="DQR832" s="134"/>
      <c r="DQS832" s="134"/>
      <c r="DQT832" s="134"/>
      <c r="DQU832" s="134"/>
      <c r="DQV832" s="134"/>
      <c r="DQW832" s="134"/>
      <c r="DQX832" s="134"/>
      <c r="DQY832" s="134"/>
      <c r="DQZ832" s="134"/>
      <c r="DRA832" s="134"/>
      <c r="DRB832" s="134"/>
      <c r="DRC832" s="134"/>
      <c r="DRD832" s="134"/>
      <c r="DRE832" s="134"/>
      <c r="DRF832" s="134"/>
      <c r="DRG832" s="134"/>
      <c r="DRH832" s="134"/>
      <c r="DRI832" s="134"/>
      <c r="DRJ832" s="134"/>
      <c r="DRK832" s="134"/>
      <c r="DRL832" s="134"/>
      <c r="DRM832" s="134"/>
      <c r="DRN832" s="134"/>
      <c r="DRO832" s="134"/>
      <c r="DRP832" s="134"/>
      <c r="DRQ832" s="134"/>
      <c r="DRR832" s="134"/>
      <c r="DRS832" s="134"/>
      <c r="DRT832" s="134"/>
      <c r="DRU832" s="134"/>
      <c r="DRV832" s="134"/>
      <c r="DRW832" s="134"/>
      <c r="DRX832" s="134"/>
      <c r="DRY832" s="134"/>
      <c r="DRZ832" s="134"/>
      <c r="DSA832" s="134"/>
      <c r="DSB832" s="134"/>
      <c r="DSC832" s="134"/>
      <c r="DSD832" s="134"/>
      <c r="DSE832" s="134"/>
      <c r="DSF832" s="134"/>
      <c r="DSG832" s="134"/>
      <c r="DSH832" s="134"/>
      <c r="DSI832" s="134"/>
      <c r="DSJ832" s="134"/>
      <c r="DSK832" s="134"/>
      <c r="DSL832" s="134"/>
      <c r="DSM832" s="134"/>
      <c r="DSN832" s="134"/>
      <c r="DSO832" s="134"/>
      <c r="DSP832" s="134"/>
      <c r="DSQ832" s="134"/>
      <c r="DSR832" s="134"/>
      <c r="DSS832" s="134"/>
      <c r="DST832" s="134"/>
      <c r="DSU832" s="134"/>
      <c r="DSV832" s="134"/>
      <c r="DSW832" s="134"/>
      <c r="DSX832" s="134"/>
      <c r="DSY832" s="134"/>
      <c r="DSZ832" s="134"/>
      <c r="DTA832" s="134"/>
      <c r="DTB832" s="134"/>
      <c r="DTC832" s="134"/>
      <c r="DTD832" s="134"/>
      <c r="DTE832" s="134"/>
      <c r="DTF832" s="134"/>
      <c r="DTG832" s="134"/>
      <c r="DTH832" s="134"/>
      <c r="DTI832" s="134"/>
      <c r="DTJ832" s="134"/>
      <c r="DTK832" s="134"/>
      <c r="DTL832" s="134"/>
      <c r="DTM832" s="134"/>
      <c r="DTN832" s="134"/>
      <c r="DTO832" s="134"/>
      <c r="DTP832" s="134"/>
      <c r="DTQ832" s="134"/>
      <c r="DTR832" s="134"/>
      <c r="DTS832" s="134"/>
      <c r="DTT832" s="134"/>
      <c r="DTU832" s="134"/>
      <c r="DTV832" s="134"/>
      <c r="DTW832" s="134"/>
      <c r="DTX832" s="134"/>
      <c r="DTY832" s="134"/>
      <c r="DTZ832" s="134"/>
      <c r="DUA832" s="134"/>
      <c r="DUB832" s="134"/>
      <c r="DUC832" s="134"/>
      <c r="DUD832" s="134"/>
      <c r="DUE832" s="134"/>
      <c r="DUF832" s="134"/>
      <c r="DUG832" s="134"/>
      <c r="DUH832" s="134"/>
      <c r="DUI832" s="134"/>
      <c r="DUJ832" s="134"/>
      <c r="DUK832" s="134"/>
      <c r="DUL832" s="134"/>
      <c r="DUM832" s="134"/>
      <c r="DUN832" s="134"/>
      <c r="DUO832" s="134"/>
      <c r="DUP832" s="134"/>
      <c r="DUQ832" s="134"/>
      <c r="DUR832" s="134"/>
      <c r="DUS832" s="134"/>
      <c r="DUT832" s="134"/>
      <c r="DUU832" s="134"/>
      <c r="DUV832" s="134"/>
      <c r="DUW832" s="134"/>
      <c r="DUX832" s="134"/>
      <c r="DUY832" s="134"/>
      <c r="DUZ832" s="134"/>
      <c r="DVA832" s="134"/>
      <c r="DVB832" s="134"/>
      <c r="DVC832" s="134"/>
      <c r="DVD832" s="134"/>
      <c r="DVE832" s="134"/>
      <c r="DVF832" s="134"/>
      <c r="DVG832" s="134"/>
      <c r="DVH832" s="134"/>
      <c r="DVI832" s="134"/>
      <c r="DVJ832" s="134"/>
      <c r="DVK832" s="134"/>
      <c r="DVL832" s="134"/>
      <c r="DVM832" s="134"/>
      <c r="DVN832" s="134"/>
      <c r="DVO832" s="134"/>
      <c r="DVP832" s="134"/>
      <c r="DVQ832" s="134"/>
      <c r="DVR832" s="134"/>
      <c r="DVS832" s="134"/>
      <c r="DVT832" s="134"/>
      <c r="DVU832" s="134"/>
      <c r="DVV832" s="134"/>
      <c r="DVW832" s="134"/>
      <c r="DVX832" s="134"/>
      <c r="DVY832" s="134"/>
      <c r="DVZ832" s="134"/>
      <c r="DWA832" s="134"/>
      <c r="DWB832" s="134"/>
      <c r="DWC832" s="134"/>
      <c r="DWD832" s="134"/>
      <c r="DWE832" s="134"/>
      <c r="DWF832" s="134"/>
      <c r="DWG832" s="134"/>
      <c r="DWH832" s="134"/>
      <c r="DWI832" s="134"/>
      <c r="DWJ832" s="134"/>
      <c r="DWK832" s="134"/>
      <c r="DWL832" s="134"/>
      <c r="DWM832" s="134"/>
      <c r="DWN832" s="134"/>
      <c r="DWO832" s="134"/>
      <c r="DWP832" s="134"/>
      <c r="DWQ832" s="134"/>
      <c r="DWR832" s="134"/>
      <c r="DWS832" s="134"/>
      <c r="DWT832" s="134"/>
      <c r="DWU832" s="134"/>
      <c r="DWV832" s="134"/>
      <c r="DWW832" s="134"/>
      <c r="DWX832" s="134"/>
      <c r="DWY832" s="134"/>
      <c r="DWZ832" s="134"/>
      <c r="DXA832" s="134"/>
      <c r="DXB832" s="134"/>
      <c r="DXC832" s="134"/>
      <c r="DXD832" s="134"/>
      <c r="DXE832" s="134"/>
      <c r="DXF832" s="134"/>
      <c r="DXG832" s="134"/>
      <c r="DXH832" s="134"/>
      <c r="DXI832" s="134"/>
      <c r="DXJ832" s="134"/>
      <c r="DXK832" s="134"/>
      <c r="DXL832" s="134"/>
      <c r="DXM832" s="134"/>
      <c r="DXN832" s="134"/>
      <c r="DXO832" s="134"/>
      <c r="DXP832" s="134"/>
      <c r="DXQ832" s="134"/>
      <c r="DXR832" s="134"/>
      <c r="DXS832" s="134"/>
      <c r="DXT832" s="134"/>
      <c r="DXU832" s="134"/>
      <c r="DXV832" s="134"/>
      <c r="DXW832" s="134"/>
      <c r="DXX832" s="134"/>
      <c r="DXY832" s="134"/>
      <c r="DXZ832" s="134"/>
      <c r="DYA832" s="134"/>
      <c r="DYB832" s="134"/>
      <c r="DYC832" s="134"/>
      <c r="DYD832" s="134"/>
      <c r="DYE832" s="134"/>
      <c r="DYF832" s="134"/>
      <c r="DYG832" s="134"/>
      <c r="DYH832" s="134"/>
      <c r="DYI832" s="134"/>
      <c r="DYJ832" s="134"/>
      <c r="DYK832" s="134"/>
      <c r="DYL832" s="134"/>
      <c r="DYM832" s="134"/>
      <c r="DYN832" s="134"/>
      <c r="DYO832" s="134"/>
      <c r="DYP832" s="134"/>
      <c r="DYQ832" s="134"/>
      <c r="DYR832" s="134"/>
      <c r="DYS832" s="134"/>
      <c r="DYT832" s="134"/>
      <c r="DYU832" s="134"/>
      <c r="DYV832" s="134"/>
      <c r="DYW832" s="134"/>
      <c r="DYX832" s="134"/>
      <c r="DYY832" s="134"/>
      <c r="DYZ832" s="134"/>
      <c r="DZA832" s="134"/>
      <c r="DZB832" s="134"/>
      <c r="DZC832" s="134"/>
      <c r="DZD832" s="134"/>
      <c r="DZE832" s="134"/>
      <c r="DZF832" s="134"/>
      <c r="DZG832" s="134"/>
      <c r="DZH832" s="134"/>
      <c r="DZI832" s="134"/>
      <c r="DZJ832" s="134"/>
      <c r="DZK832" s="134"/>
      <c r="DZL832" s="134"/>
      <c r="DZM832" s="134"/>
      <c r="DZN832" s="134"/>
      <c r="DZO832" s="134"/>
      <c r="DZP832" s="134"/>
      <c r="DZQ832" s="134"/>
      <c r="DZR832" s="134"/>
      <c r="DZS832" s="134"/>
      <c r="DZT832" s="134"/>
      <c r="DZU832" s="134"/>
      <c r="DZV832" s="134"/>
      <c r="DZW832" s="134"/>
      <c r="DZX832" s="134"/>
      <c r="DZY832" s="134"/>
      <c r="DZZ832" s="134"/>
      <c r="EAA832" s="134"/>
      <c r="EAB832" s="134"/>
      <c r="EAC832" s="134"/>
      <c r="EAD832" s="134"/>
      <c r="EAE832" s="134"/>
      <c r="EAF832" s="134"/>
      <c r="EAG832" s="134"/>
      <c r="EAH832" s="134"/>
      <c r="EAI832" s="134"/>
      <c r="EAJ832" s="134"/>
      <c r="EAK832" s="134"/>
      <c r="EAL832" s="134"/>
      <c r="EAM832" s="134"/>
      <c r="EAN832" s="134"/>
      <c r="EAO832" s="134"/>
      <c r="EAP832" s="134"/>
      <c r="EAQ832" s="134"/>
      <c r="EAR832" s="134"/>
      <c r="EAS832" s="134"/>
      <c r="EAT832" s="134"/>
      <c r="EAU832" s="134"/>
      <c r="EAV832" s="134"/>
      <c r="EAW832" s="134"/>
      <c r="EAX832" s="134"/>
      <c r="EAY832" s="147"/>
    </row>
    <row r="833" spans="1:75" s="11" customFormat="1" hidden="1" x14ac:dyDescent="0.2">
      <c r="A833" s="4">
        <v>6</v>
      </c>
      <c r="B833" s="5" t="s">
        <v>170</v>
      </c>
      <c r="C833" s="4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190"/>
      <c r="P833" s="201"/>
      <c r="Q833" s="201"/>
      <c r="R833" s="201"/>
      <c r="S833" s="201"/>
      <c r="T833" s="201"/>
      <c r="U833" s="201"/>
      <c r="V833" s="201"/>
      <c r="W833" s="201"/>
      <c r="X833" s="201"/>
      <c r="Y833" s="201"/>
      <c r="Z833" s="201"/>
      <c r="AA833" s="201"/>
      <c r="AB833" s="201"/>
      <c r="AC833" s="201"/>
      <c r="AD833" s="201"/>
      <c r="AE833" s="201"/>
      <c r="AF833" s="201"/>
      <c r="AG833" s="201"/>
      <c r="AH833" s="201"/>
      <c r="AI833" s="201"/>
      <c r="AJ833" s="201"/>
      <c r="AK833" s="201"/>
      <c r="AL833" s="201"/>
      <c r="AM833" s="201"/>
      <c r="AN833" s="201"/>
      <c r="AO833" s="201"/>
      <c r="AP833" s="201"/>
      <c r="AQ833" s="201"/>
      <c r="AR833" s="201"/>
      <c r="AS833" s="201"/>
      <c r="AT833" s="201"/>
      <c r="AU833" s="201"/>
      <c r="AV833" s="201"/>
      <c r="AW833" s="201"/>
      <c r="AX833" s="201"/>
      <c r="AY833" s="201"/>
      <c r="AZ833" s="201"/>
      <c r="BA833" s="201"/>
      <c r="BB833" s="201"/>
      <c r="BC833" s="201"/>
      <c r="BD833" s="201"/>
      <c r="BE833" s="201"/>
      <c r="BF833" s="201"/>
      <c r="BG833" s="201"/>
      <c r="BH833" s="201"/>
      <c r="BI833" s="201"/>
      <c r="BJ833" s="201"/>
      <c r="BK833" s="201"/>
      <c r="BL833" s="201"/>
      <c r="BM833" s="201"/>
      <c r="BN833" s="201"/>
      <c r="BO833" s="201"/>
      <c r="BP833" s="201"/>
      <c r="BQ833" s="201"/>
      <c r="BR833" s="201"/>
      <c r="BS833" s="201"/>
      <c r="BT833" s="201"/>
      <c r="BU833" s="201"/>
      <c r="BV833" s="201"/>
      <c r="BW833" s="201"/>
    </row>
    <row r="834" spans="1:75" ht="25.5" hidden="1" x14ac:dyDescent="0.2">
      <c r="A834" s="6" t="s">
        <v>102</v>
      </c>
      <c r="B834" s="16" t="s">
        <v>166</v>
      </c>
      <c r="C834" s="6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192"/>
    </row>
    <row r="835" spans="1:75" hidden="1" x14ac:dyDescent="0.2">
      <c r="A835" s="6"/>
      <c r="B835" s="13" t="s">
        <v>91</v>
      </c>
      <c r="C835" s="6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192"/>
    </row>
    <row r="836" spans="1:75" hidden="1" x14ac:dyDescent="0.2">
      <c r="A836" s="6"/>
      <c r="B836" s="7" t="s">
        <v>92</v>
      </c>
      <c r="C836" s="6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192"/>
    </row>
    <row r="837" spans="1:75" hidden="1" x14ac:dyDescent="0.2">
      <c r="A837" s="6"/>
      <c r="B837" s="13" t="s">
        <v>156</v>
      </c>
      <c r="C837" s="6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192"/>
    </row>
    <row r="838" spans="1:75" hidden="1" x14ac:dyDescent="0.2">
      <c r="A838" s="6"/>
      <c r="B838" s="7" t="s">
        <v>157</v>
      </c>
      <c r="C838" s="6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192"/>
    </row>
    <row r="839" spans="1:75" ht="38.25" hidden="1" x14ac:dyDescent="0.2">
      <c r="A839" s="6" t="s">
        <v>103</v>
      </c>
      <c r="B839" s="16" t="s">
        <v>175</v>
      </c>
      <c r="C839" s="6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192"/>
    </row>
    <row r="840" spans="1:75" hidden="1" x14ac:dyDescent="0.2">
      <c r="A840" s="6"/>
      <c r="B840" s="10" t="s">
        <v>91</v>
      </c>
      <c r="C840" s="6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192"/>
    </row>
    <row r="841" spans="1:75" hidden="1" x14ac:dyDescent="0.2">
      <c r="A841" s="6"/>
      <c r="B841" s="17" t="s">
        <v>92</v>
      </c>
      <c r="C841" s="6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192"/>
    </row>
    <row r="842" spans="1:75" hidden="1" x14ac:dyDescent="0.2">
      <c r="A842" s="6"/>
      <c r="B842" s="10" t="s">
        <v>156</v>
      </c>
      <c r="C842" s="6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192"/>
    </row>
    <row r="843" spans="1:75" hidden="1" x14ac:dyDescent="0.2">
      <c r="A843" s="6"/>
      <c r="B843" s="17" t="s">
        <v>157</v>
      </c>
      <c r="C843" s="6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192"/>
    </row>
    <row r="844" spans="1:75" ht="38.25" hidden="1" x14ac:dyDescent="0.2">
      <c r="A844" s="21" t="s">
        <v>104</v>
      </c>
      <c r="B844" s="22" t="s">
        <v>168</v>
      </c>
      <c r="C844" s="21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193"/>
    </row>
    <row r="845" spans="1:75" s="11" customFormat="1" x14ac:dyDescent="0.2">
      <c r="A845" s="4" t="s">
        <v>172</v>
      </c>
      <c r="B845" s="26" t="s">
        <v>215</v>
      </c>
      <c r="C845" s="4">
        <f>SUM(C846:C850)</f>
        <v>39</v>
      </c>
      <c r="D845" s="32"/>
      <c r="E845" s="32">
        <f>SUM(E846:E850)</f>
        <v>1844862</v>
      </c>
      <c r="F845" s="31"/>
      <c r="G845" s="32">
        <f>SUM(G846:G850)</f>
        <v>193173</v>
      </c>
      <c r="H845" s="32"/>
      <c r="I845" s="47"/>
      <c r="J845" s="31"/>
      <c r="K845" s="32">
        <f>SUM(K846:K850)</f>
        <v>2172283.7355599999</v>
      </c>
      <c r="L845" s="32"/>
      <c r="M845" s="32">
        <f>SUM(M846:M850)</f>
        <v>4210318.7355599999</v>
      </c>
      <c r="N845" s="32"/>
      <c r="O845" s="190">
        <f>SUM(O846:O850)</f>
        <v>4210318.7355599999</v>
      </c>
      <c r="P845" s="201"/>
      <c r="Q845" s="201"/>
      <c r="R845" s="201"/>
      <c r="S845" s="201"/>
      <c r="T845" s="201"/>
      <c r="U845" s="201"/>
      <c r="V845" s="201"/>
      <c r="W845" s="201"/>
      <c r="X845" s="201"/>
      <c r="Y845" s="201"/>
      <c r="Z845" s="201"/>
      <c r="AA845" s="201"/>
      <c r="AB845" s="201"/>
      <c r="AC845" s="201"/>
      <c r="AD845" s="201"/>
      <c r="AE845" s="201"/>
      <c r="AF845" s="201"/>
      <c r="AG845" s="201"/>
      <c r="AH845" s="201"/>
      <c r="AI845" s="201"/>
      <c r="AJ845" s="201"/>
      <c r="AK845" s="201"/>
      <c r="AL845" s="201"/>
      <c r="AM845" s="201"/>
      <c r="AN845" s="201"/>
      <c r="AO845" s="201"/>
      <c r="AP845" s="201"/>
      <c r="AQ845" s="201"/>
      <c r="AR845" s="201"/>
      <c r="AS845" s="201"/>
      <c r="AT845" s="201"/>
      <c r="AU845" s="201"/>
      <c r="AV845" s="201"/>
      <c r="AW845" s="201"/>
      <c r="AX845" s="201"/>
      <c r="AY845" s="201"/>
      <c r="AZ845" s="201"/>
      <c r="BA845" s="201"/>
      <c r="BB845" s="201"/>
      <c r="BC845" s="201"/>
      <c r="BD845" s="201"/>
      <c r="BE845" s="201"/>
      <c r="BF845" s="201"/>
      <c r="BG845" s="201"/>
      <c r="BH845" s="201"/>
      <c r="BI845" s="201"/>
      <c r="BJ845" s="201"/>
      <c r="BK845" s="201"/>
      <c r="BL845" s="201"/>
      <c r="BM845" s="201"/>
      <c r="BN845" s="201"/>
      <c r="BO845" s="201"/>
      <c r="BP845" s="201"/>
      <c r="BQ845" s="201"/>
      <c r="BR845" s="201"/>
      <c r="BS845" s="201"/>
      <c r="BT845" s="201"/>
      <c r="BU845" s="201"/>
      <c r="BV845" s="201"/>
      <c r="BW845" s="201"/>
    </row>
    <row r="846" spans="1:75" ht="25.5" x14ac:dyDescent="0.2">
      <c r="A846" s="6" t="s">
        <v>96</v>
      </c>
      <c r="B846" s="16" t="s">
        <v>154</v>
      </c>
      <c r="C846" s="6"/>
      <c r="D846" s="31"/>
      <c r="E846" s="31"/>
      <c r="F846" s="31"/>
      <c r="G846" s="31"/>
      <c r="H846" s="31"/>
      <c r="I846" s="41"/>
      <c r="J846" s="31"/>
      <c r="K846" s="31"/>
      <c r="L846" s="31"/>
      <c r="M846" s="31"/>
      <c r="N846" s="31"/>
      <c r="O846" s="192"/>
    </row>
    <row r="847" spans="1:75" x14ac:dyDescent="0.2">
      <c r="A847" s="6"/>
      <c r="B847" s="10" t="s">
        <v>280</v>
      </c>
      <c r="C847" s="6">
        <v>9</v>
      </c>
      <c r="D847" s="31">
        <v>42278</v>
      </c>
      <c r="E847" s="31">
        <f>C847*D847</f>
        <v>380502</v>
      </c>
      <c r="F847" s="31">
        <f t="shared" ref="F847" si="512">ROUND((D847*10.47143%),0)</f>
        <v>4427</v>
      </c>
      <c r="G847" s="31">
        <f>ROUND((C847*F847),0)</f>
        <v>39843</v>
      </c>
      <c r="H847" s="31">
        <v>16551.61</v>
      </c>
      <c r="I847" s="41">
        <v>3.3639999999999999</v>
      </c>
      <c r="J847" s="31">
        <f t="shared" ref="J847" si="513">H847*I847</f>
        <v>55679.616040000001</v>
      </c>
      <c r="K847" s="31">
        <f>C847*J847+778.71</f>
        <v>501895.25436000002</v>
      </c>
      <c r="L847" s="31">
        <f t="shared" ref="L847:M847" si="514">D847+F847+J847</f>
        <v>102384.61603999999</v>
      </c>
      <c r="M847" s="31">
        <f t="shared" si="514"/>
        <v>922240.25436000002</v>
      </c>
      <c r="N847" s="31"/>
      <c r="O847" s="192">
        <f t="shared" ref="O847" si="515">M847+N847</f>
        <v>922240.25436000002</v>
      </c>
    </row>
    <row r="848" spans="1:75" hidden="1" x14ac:dyDescent="0.2">
      <c r="A848" s="6"/>
      <c r="B848" s="17" t="s">
        <v>92</v>
      </c>
      <c r="C848" s="6"/>
      <c r="D848" s="31"/>
      <c r="E848" s="31"/>
      <c r="F848" s="31"/>
      <c r="G848" s="31"/>
      <c r="H848" s="31"/>
      <c r="I848" s="41"/>
      <c r="J848" s="31"/>
      <c r="K848" s="31"/>
      <c r="L848" s="31"/>
      <c r="M848" s="31"/>
      <c r="N848" s="31"/>
      <c r="O848" s="192"/>
    </row>
    <row r="849" spans="1:159" ht="38.25" x14ac:dyDescent="0.2">
      <c r="A849" s="6" t="s">
        <v>97</v>
      </c>
      <c r="B849" s="16" t="s">
        <v>173</v>
      </c>
      <c r="C849" s="6"/>
      <c r="D849" s="31"/>
      <c r="E849" s="31"/>
      <c r="F849" s="31"/>
      <c r="G849" s="31"/>
      <c r="H849" s="31"/>
      <c r="I849" s="41"/>
      <c r="J849" s="31"/>
      <c r="K849" s="31"/>
      <c r="L849" s="31"/>
      <c r="M849" s="31"/>
      <c r="N849" s="31"/>
      <c r="O849" s="192"/>
    </row>
    <row r="850" spans="1:159" x14ac:dyDescent="0.2">
      <c r="A850" s="6"/>
      <c r="B850" s="10" t="s">
        <v>280</v>
      </c>
      <c r="C850" s="6">
        <v>30</v>
      </c>
      <c r="D850" s="31">
        <v>48812</v>
      </c>
      <c r="E850" s="31">
        <f>C850*D850</f>
        <v>1464360</v>
      </c>
      <c r="F850" s="31">
        <f t="shared" ref="F850" si="516">ROUND((D850*10.47143%),0)</f>
        <v>5111</v>
      </c>
      <c r="G850" s="31">
        <f t="shared" ref="G850" si="517">ROUND((C850*F850),0)</f>
        <v>153330</v>
      </c>
      <c r="H850" s="31">
        <v>16551.61</v>
      </c>
      <c r="I850" s="41">
        <v>3.3639999999999999</v>
      </c>
      <c r="J850" s="31">
        <f t="shared" ref="J850" si="518">H850*I850</f>
        <v>55679.616040000001</v>
      </c>
      <c r="K850" s="31">
        <f t="shared" ref="K850" si="519">C850*J850</f>
        <v>1670388.4812</v>
      </c>
      <c r="L850" s="31">
        <f t="shared" ref="L850:M850" si="520">D850+F850+J850</f>
        <v>109602.61603999999</v>
      </c>
      <c r="M850" s="31">
        <f t="shared" si="520"/>
        <v>3288078.4812000003</v>
      </c>
      <c r="N850" s="31"/>
      <c r="O850" s="192">
        <f t="shared" ref="O850" si="521">M850+N850</f>
        <v>3288078.4812000003</v>
      </c>
    </row>
    <row r="851" spans="1:159" hidden="1" x14ac:dyDescent="0.2">
      <c r="A851" s="6"/>
      <c r="B851" s="17" t="s">
        <v>92</v>
      </c>
      <c r="C851" s="6"/>
      <c r="D851" s="31"/>
      <c r="E851" s="31"/>
      <c r="F851" s="31"/>
      <c r="G851" s="31"/>
      <c r="H851" s="31"/>
      <c r="I851" s="41"/>
      <c r="J851" s="31"/>
      <c r="K851" s="31"/>
      <c r="L851" s="31"/>
      <c r="M851" s="31"/>
      <c r="N851" s="31"/>
      <c r="O851" s="192"/>
    </row>
    <row r="852" spans="1:159" hidden="1" x14ac:dyDescent="0.2">
      <c r="A852" s="6"/>
      <c r="B852" s="10" t="s">
        <v>156</v>
      </c>
      <c r="C852" s="6"/>
      <c r="D852" s="31"/>
      <c r="E852" s="31"/>
      <c r="F852" s="31"/>
      <c r="G852" s="31"/>
      <c r="H852" s="31"/>
      <c r="I852" s="41"/>
      <c r="J852" s="31"/>
      <c r="K852" s="31"/>
      <c r="L852" s="31"/>
      <c r="M852" s="31"/>
      <c r="N852" s="31"/>
      <c r="O852" s="192"/>
    </row>
    <row r="853" spans="1:159" hidden="1" x14ac:dyDescent="0.2">
      <c r="A853" s="6"/>
      <c r="B853" s="17" t="s">
        <v>157</v>
      </c>
      <c r="C853" s="6"/>
      <c r="D853" s="31"/>
      <c r="E853" s="31"/>
      <c r="F853" s="31"/>
      <c r="G853" s="31"/>
      <c r="H853" s="31"/>
      <c r="I853" s="41"/>
      <c r="J853" s="31"/>
      <c r="K853" s="31"/>
      <c r="L853" s="31"/>
      <c r="M853" s="31"/>
      <c r="N853" s="31"/>
      <c r="O853" s="192"/>
    </row>
    <row r="854" spans="1:159" ht="38.25" hidden="1" x14ac:dyDescent="0.2">
      <c r="A854" s="6" t="s">
        <v>98</v>
      </c>
      <c r="B854" s="16" t="s">
        <v>158</v>
      </c>
      <c r="C854" s="6"/>
      <c r="D854" s="31"/>
      <c r="E854" s="31"/>
      <c r="F854" s="31"/>
      <c r="G854" s="31"/>
      <c r="H854" s="31"/>
      <c r="I854" s="41"/>
      <c r="J854" s="31"/>
      <c r="K854" s="31"/>
      <c r="L854" s="31"/>
      <c r="M854" s="31"/>
      <c r="N854" s="31"/>
      <c r="O854" s="192"/>
    </row>
    <row r="855" spans="1:159" s="11" customFormat="1" x14ac:dyDescent="0.2">
      <c r="A855" s="4">
        <v>5</v>
      </c>
      <c r="B855" s="5" t="s">
        <v>174</v>
      </c>
      <c r="C855" s="4">
        <f>SUM(C856:C864)</f>
        <v>54</v>
      </c>
      <c r="D855" s="32"/>
      <c r="E855" s="32">
        <f>SUM(E856:E864)</f>
        <v>3120440</v>
      </c>
      <c r="F855" s="31"/>
      <c r="G855" s="32">
        <f>SUM(G856:G864)</f>
        <v>326742</v>
      </c>
      <c r="H855" s="32"/>
      <c r="I855" s="47"/>
      <c r="J855" s="31"/>
      <c r="K855" s="32">
        <f>SUM(K856:K864)</f>
        <v>3006699.2661600001</v>
      </c>
      <c r="L855" s="32"/>
      <c r="M855" s="32">
        <f>SUM(M856:M864)</f>
        <v>6453881.2661600001</v>
      </c>
      <c r="N855" s="32"/>
      <c r="O855" s="190">
        <f>SUM(O856:O864)</f>
        <v>6453881.2661600001</v>
      </c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1"/>
      <c r="AT855" s="201"/>
      <c r="AU855" s="201"/>
      <c r="AV855" s="201"/>
      <c r="AW855" s="201"/>
      <c r="AX855" s="201"/>
      <c r="AY855" s="201"/>
      <c r="AZ855" s="201"/>
      <c r="BA855" s="201"/>
      <c r="BB855" s="201"/>
      <c r="BC855" s="201"/>
      <c r="BD855" s="201"/>
      <c r="BE855" s="201"/>
      <c r="BF855" s="201"/>
      <c r="BG855" s="201"/>
      <c r="BH855" s="201"/>
      <c r="BI855" s="201"/>
      <c r="BJ855" s="201"/>
      <c r="BK855" s="201"/>
      <c r="BL855" s="201"/>
      <c r="BM855" s="201"/>
      <c r="BN855" s="201"/>
      <c r="BO855" s="201"/>
      <c r="BP855" s="201"/>
      <c r="BQ855" s="201"/>
      <c r="BR855" s="201"/>
      <c r="BS855" s="201"/>
      <c r="BT855" s="201"/>
      <c r="BU855" s="201"/>
      <c r="BV855" s="201"/>
      <c r="BW855" s="201"/>
    </row>
    <row r="856" spans="1:159" ht="25.5" x14ac:dyDescent="0.2">
      <c r="A856" s="6" t="s">
        <v>99</v>
      </c>
      <c r="B856" s="14" t="s">
        <v>160</v>
      </c>
      <c r="C856" s="6"/>
      <c r="D856" s="31"/>
      <c r="E856" s="31"/>
      <c r="F856" s="31"/>
      <c r="G856" s="31"/>
      <c r="H856" s="31"/>
      <c r="I856" s="41"/>
      <c r="J856" s="31"/>
      <c r="K856" s="31"/>
      <c r="L856" s="31"/>
      <c r="M856" s="31"/>
      <c r="N856" s="31"/>
      <c r="O856" s="192"/>
    </row>
    <row r="857" spans="1:159" x14ac:dyDescent="0.2">
      <c r="A857" s="6"/>
      <c r="B857" s="10" t="s">
        <v>280</v>
      </c>
      <c r="C857" s="6">
        <v>19</v>
      </c>
      <c r="D857" s="31">
        <v>53434</v>
      </c>
      <c r="E857" s="31">
        <f>C857*D857</f>
        <v>1015246</v>
      </c>
      <c r="F857" s="31">
        <f t="shared" ref="F857:F862" si="522">ROUND((D857*10.47143%),0)</f>
        <v>5595</v>
      </c>
      <c r="G857" s="31">
        <f t="shared" ref="G857:G858" si="523">ROUND((C857*F857),0)</f>
        <v>106305</v>
      </c>
      <c r="H857" s="31">
        <v>16551.61</v>
      </c>
      <c r="I857" s="41">
        <v>3.3639999999999999</v>
      </c>
      <c r="J857" s="31">
        <f t="shared" ref="J857" si="524">H857*I857</f>
        <v>55679.616040000001</v>
      </c>
      <c r="K857" s="31">
        <f t="shared" ref="K857" si="525">C857*J857</f>
        <v>1057912.7047600001</v>
      </c>
      <c r="L857" s="31">
        <f t="shared" ref="L857:M860" si="526">D857+F857+J857</f>
        <v>114708.61603999999</v>
      </c>
      <c r="M857" s="31">
        <f t="shared" si="526"/>
        <v>2179463.7047600001</v>
      </c>
      <c r="N857" s="31"/>
      <c r="O857" s="192">
        <f t="shared" ref="O857:O858" si="527">M857+N857</f>
        <v>2179463.7047600001</v>
      </c>
    </row>
    <row r="858" spans="1:159" x14ac:dyDescent="0.2">
      <c r="A858" s="6"/>
      <c r="B858" s="119" t="s">
        <v>309</v>
      </c>
      <c r="C858" s="6">
        <v>7</v>
      </c>
      <c r="D858" s="31">
        <v>53434</v>
      </c>
      <c r="E858" s="31">
        <f>C858*D858</f>
        <v>374038</v>
      </c>
      <c r="F858" s="31">
        <f t="shared" si="522"/>
        <v>5595</v>
      </c>
      <c r="G858" s="31">
        <f t="shared" si="523"/>
        <v>39165</v>
      </c>
      <c r="H858" s="31">
        <v>16551.61</v>
      </c>
      <c r="I858" s="41">
        <v>3.3639999999999999</v>
      </c>
      <c r="J858" s="31">
        <f t="shared" ref="J858" si="528">H858*I858</f>
        <v>55679.616040000001</v>
      </c>
      <c r="K858" s="31">
        <f t="shared" ref="K858" si="529">C858*J858</f>
        <v>389757.31228000001</v>
      </c>
      <c r="L858" s="31">
        <f t="shared" si="526"/>
        <v>114708.61603999999</v>
      </c>
      <c r="M858" s="31">
        <f t="shared" si="526"/>
        <v>802960.31227999995</v>
      </c>
      <c r="N858" s="31"/>
      <c r="O858" s="192">
        <f t="shared" si="527"/>
        <v>802960.31227999995</v>
      </c>
    </row>
    <row r="859" spans="1:159" hidden="1" x14ac:dyDescent="0.2">
      <c r="A859" s="6"/>
      <c r="B859" s="103" t="s">
        <v>156</v>
      </c>
      <c r="C859" s="6"/>
      <c r="D859" s="31"/>
      <c r="E859" s="31"/>
      <c r="F859" s="31">
        <f t="shared" si="522"/>
        <v>0</v>
      </c>
      <c r="G859" s="31"/>
      <c r="H859" s="31"/>
      <c r="I859" s="41"/>
      <c r="J859" s="31"/>
      <c r="K859" s="31"/>
      <c r="L859" s="31">
        <f t="shared" si="526"/>
        <v>0</v>
      </c>
      <c r="M859" s="31">
        <f t="shared" si="526"/>
        <v>0</v>
      </c>
      <c r="N859" s="31"/>
      <c r="O859" s="192"/>
    </row>
    <row r="860" spans="1:159" hidden="1" x14ac:dyDescent="0.2">
      <c r="A860" s="6"/>
      <c r="B860" s="7" t="s">
        <v>157</v>
      </c>
      <c r="C860" s="6"/>
      <c r="D860" s="31"/>
      <c r="E860" s="31"/>
      <c r="F860" s="31">
        <f t="shared" si="522"/>
        <v>0</v>
      </c>
      <c r="G860" s="31"/>
      <c r="H860" s="31"/>
      <c r="I860" s="41"/>
      <c r="J860" s="31"/>
      <c r="K860" s="31"/>
      <c r="L860" s="31">
        <f t="shared" si="526"/>
        <v>0</v>
      </c>
      <c r="M860" s="31">
        <f t="shared" si="526"/>
        <v>0</v>
      </c>
      <c r="N860" s="31"/>
      <c r="O860" s="192"/>
    </row>
    <row r="861" spans="1:159" ht="38.25" x14ac:dyDescent="0.2">
      <c r="A861" s="6" t="s">
        <v>100</v>
      </c>
      <c r="B861" s="16" t="s">
        <v>175</v>
      </c>
      <c r="C861" s="6"/>
      <c r="D861" s="31"/>
      <c r="E861" s="31"/>
      <c r="F861" s="31"/>
      <c r="G861" s="31"/>
      <c r="H861" s="31"/>
      <c r="I861" s="41"/>
      <c r="J861" s="31"/>
      <c r="K861" s="31"/>
      <c r="L861" s="31"/>
      <c r="M861" s="31"/>
      <c r="N861" s="31"/>
      <c r="O861" s="192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  <c r="AF861" s="134"/>
      <c r="AG861" s="134"/>
      <c r="AH861" s="134"/>
      <c r="AI861" s="134"/>
      <c r="AJ861" s="134"/>
      <c r="AK861" s="134"/>
      <c r="AL861" s="134"/>
      <c r="AM861" s="134"/>
      <c r="AN861" s="134"/>
      <c r="AO861" s="134"/>
      <c r="AP861" s="134"/>
      <c r="AQ861" s="134"/>
      <c r="AR861" s="134"/>
      <c r="AS861" s="134"/>
      <c r="AT861" s="134"/>
      <c r="AU861" s="134"/>
      <c r="AV861" s="134"/>
      <c r="AW861" s="134"/>
      <c r="AX861" s="134"/>
      <c r="AY861" s="134"/>
      <c r="AZ861" s="134"/>
      <c r="BA861" s="134"/>
      <c r="BB861" s="134"/>
      <c r="BC861" s="134"/>
      <c r="BD861" s="134"/>
      <c r="BE861" s="134"/>
      <c r="BF861" s="134"/>
      <c r="BG861" s="134"/>
      <c r="BH861" s="134"/>
      <c r="BI861" s="134"/>
      <c r="BJ861" s="134"/>
      <c r="BK861" s="134"/>
      <c r="BL861" s="134"/>
      <c r="BM861" s="134"/>
      <c r="BN861" s="134"/>
      <c r="BO861" s="134"/>
      <c r="BP861" s="134"/>
      <c r="BQ861" s="134"/>
      <c r="BR861" s="134"/>
      <c r="BS861" s="134"/>
      <c r="BT861" s="134"/>
      <c r="BU861" s="134"/>
      <c r="BV861" s="134"/>
      <c r="BW861" s="134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  <c r="CH861" s="43"/>
      <c r="CI861" s="43"/>
      <c r="CJ861" s="43"/>
      <c r="CK861" s="43"/>
      <c r="CL861" s="43"/>
      <c r="CM861" s="43"/>
      <c r="CN861" s="43"/>
      <c r="CO861" s="43"/>
      <c r="CP861" s="43"/>
      <c r="CQ861" s="43"/>
      <c r="CR861" s="43"/>
      <c r="CS861" s="43"/>
      <c r="CT861" s="43"/>
      <c r="CU861" s="43"/>
      <c r="CV861" s="43"/>
      <c r="CW861" s="43"/>
      <c r="CX861" s="43"/>
      <c r="CY861" s="43"/>
      <c r="CZ861" s="43"/>
      <c r="DA861" s="43"/>
      <c r="DB861" s="43"/>
      <c r="DC861" s="43"/>
      <c r="DD861" s="43"/>
      <c r="DE861" s="43"/>
      <c r="DF861" s="43"/>
      <c r="DG861" s="43"/>
      <c r="DH861" s="43"/>
      <c r="DI861" s="43"/>
      <c r="DJ861" s="43"/>
      <c r="DK861" s="43"/>
      <c r="DL861" s="43"/>
      <c r="DM861" s="43"/>
      <c r="DN861" s="43"/>
      <c r="DO861" s="43"/>
      <c r="DP861" s="43"/>
      <c r="DQ861" s="43"/>
      <c r="DR861" s="43"/>
      <c r="DS861" s="43"/>
      <c r="DT861" s="43"/>
      <c r="DU861" s="43"/>
      <c r="DV861" s="43"/>
      <c r="DW861" s="43"/>
      <c r="DX861" s="43"/>
      <c r="DY861" s="43"/>
      <c r="DZ861" s="43"/>
      <c r="EA861" s="43"/>
      <c r="EB861" s="43"/>
      <c r="EC861" s="43"/>
      <c r="ED861" s="43"/>
      <c r="EE861" s="43"/>
      <c r="EF861" s="43"/>
      <c r="EG861" s="43"/>
      <c r="EH861" s="43"/>
      <c r="EI861" s="43"/>
      <c r="EJ861" s="43"/>
      <c r="EK861" s="43"/>
      <c r="EL861" s="43"/>
      <c r="EM861" s="43"/>
      <c r="EN861" s="43"/>
      <c r="EO861" s="43"/>
      <c r="EP861" s="43"/>
      <c r="EQ861" s="43"/>
      <c r="ER861" s="43"/>
      <c r="ES861" s="43"/>
      <c r="ET861" s="43"/>
      <c r="EU861" s="43"/>
      <c r="EV861" s="43"/>
      <c r="EW861" s="43"/>
      <c r="EX861" s="43"/>
      <c r="EY861" s="43"/>
      <c r="EZ861" s="43"/>
      <c r="FA861" s="43"/>
      <c r="FB861" s="43"/>
      <c r="FC861" s="43"/>
    </row>
    <row r="862" spans="1:159" x14ac:dyDescent="0.2">
      <c r="A862" s="6"/>
      <c r="B862" s="10" t="s">
        <v>280</v>
      </c>
      <c r="C862" s="6">
        <v>28</v>
      </c>
      <c r="D862" s="31">
        <v>61827</v>
      </c>
      <c r="E862" s="31">
        <f>C862*D862</f>
        <v>1731156</v>
      </c>
      <c r="F862" s="31">
        <f t="shared" si="522"/>
        <v>6474</v>
      </c>
      <c r="G862" s="31">
        <f t="shared" ref="G862:G863" si="530">ROUND((C862*F862),0)</f>
        <v>181272</v>
      </c>
      <c r="H862" s="31">
        <v>16551.61</v>
      </c>
      <c r="I862" s="41">
        <v>3.3639999999999999</v>
      </c>
      <c r="J862" s="31">
        <f t="shared" ref="J862:J863" si="531">H862*I862</f>
        <v>55679.616040000001</v>
      </c>
      <c r="K862" s="31">
        <f t="shared" ref="K862:K863" si="532">C862*J862</f>
        <v>1559029.2491200001</v>
      </c>
      <c r="L862" s="31">
        <f t="shared" ref="L862:M863" si="533">D862+F862+J862</f>
        <v>123980.61603999999</v>
      </c>
      <c r="M862" s="31">
        <f t="shared" si="533"/>
        <v>3471457.2491199998</v>
      </c>
      <c r="N862" s="31"/>
      <c r="O862" s="192">
        <f t="shared" ref="O862:O863" si="534">M862+N862</f>
        <v>3471457.2491199998</v>
      </c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  <c r="AF862" s="134"/>
      <c r="AG862" s="134"/>
      <c r="AH862" s="134"/>
      <c r="AI862" s="134"/>
      <c r="AJ862" s="134"/>
      <c r="AK862" s="134"/>
      <c r="AL862" s="134"/>
      <c r="AM862" s="134"/>
      <c r="AN862" s="134"/>
      <c r="AO862" s="134"/>
      <c r="AP862" s="134"/>
      <c r="AQ862" s="134"/>
      <c r="AR862" s="134"/>
      <c r="AS862" s="134"/>
      <c r="AT862" s="134"/>
      <c r="AU862" s="134"/>
      <c r="AV862" s="134"/>
      <c r="AW862" s="134"/>
      <c r="AX862" s="134"/>
      <c r="AY862" s="134"/>
      <c r="AZ862" s="134"/>
      <c r="BA862" s="134"/>
      <c r="BB862" s="134"/>
      <c r="BC862" s="134"/>
      <c r="BD862" s="134"/>
      <c r="BE862" s="134"/>
      <c r="BF862" s="134"/>
      <c r="BG862" s="134"/>
      <c r="BH862" s="134"/>
      <c r="BI862" s="134"/>
      <c r="BJ862" s="134"/>
      <c r="BK862" s="134"/>
      <c r="BL862" s="134"/>
      <c r="BM862" s="134"/>
      <c r="BN862" s="134"/>
      <c r="BO862" s="134"/>
      <c r="BP862" s="134"/>
      <c r="BQ862" s="134"/>
      <c r="BR862" s="134"/>
      <c r="BS862" s="134"/>
      <c r="BT862" s="134"/>
      <c r="BU862" s="134"/>
      <c r="BV862" s="134"/>
      <c r="BW862" s="134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  <c r="CH862" s="43"/>
      <c r="CI862" s="43"/>
      <c r="CJ862" s="43"/>
      <c r="CK862" s="43"/>
      <c r="CL862" s="43"/>
      <c r="CM862" s="43"/>
      <c r="CN862" s="43"/>
      <c r="CO862" s="43"/>
      <c r="CP862" s="43"/>
      <c r="CQ862" s="43"/>
      <c r="CR862" s="43"/>
      <c r="CS862" s="43"/>
      <c r="CT862" s="43"/>
      <c r="CU862" s="43"/>
      <c r="CV862" s="43"/>
      <c r="CW862" s="43"/>
      <c r="CX862" s="43"/>
      <c r="CY862" s="43"/>
      <c r="CZ862" s="43"/>
      <c r="DA862" s="43"/>
      <c r="DB862" s="43"/>
      <c r="DC862" s="43"/>
      <c r="DD862" s="43"/>
      <c r="DE862" s="43"/>
      <c r="DF862" s="43"/>
      <c r="DG862" s="43"/>
      <c r="DH862" s="43"/>
      <c r="DI862" s="43"/>
      <c r="DJ862" s="43"/>
      <c r="DK862" s="43"/>
      <c r="DL862" s="43"/>
      <c r="DM862" s="43"/>
      <c r="DN862" s="43"/>
      <c r="DO862" s="43"/>
      <c r="DP862" s="43"/>
      <c r="DQ862" s="43"/>
      <c r="DR862" s="43"/>
      <c r="DS862" s="43"/>
      <c r="DT862" s="43"/>
      <c r="DU862" s="43"/>
      <c r="DV862" s="43"/>
      <c r="DW862" s="43"/>
      <c r="DX862" s="43"/>
      <c r="DY862" s="43"/>
      <c r="DZ862" s="43"/>
      <c r="EA862" s="43"/>
      <c r="EB862" s="43"/>
      <c r="EC862" s="43"/>
      <c r="ED862" s="43"/>
      <c r="EE862" s="43"/>
      <c r="EF862" s="43"/>
      <c r="EG862" s="43"/>
      <c r="EH862" s="43"/>
      <c r="EI862" s="43"/>
      <c r="EJ862" s="43"/>
      <c r="EK862" s="43"/>
      <c r="EL862" s="43"/>
      <c r="EM862" s="43"/>
      <c r="EN862" s="43"/>
      <c r="EO862" s="43"/>
      <c r="EP862" s="43"/>
      <c r="EQ862" s="43"/>
      <c r="ER862" s="43"/>
      <c r="ES862" s="43"/>
      <c r="ET862" s="43"/>
      <c r="EU862" s="43"/>
      <c r="EV862" s="43"/>
      <c r="EW862" s="43"/>
      <c r="EX862" s="43"/>
      <c r="EY862" s="43"/>
      <c r="EZ862" s="43"/>
      <c r="FA862" s="43"/>
      <c r="FB862" s="43"/>
      <c r="FC862" s="43"/>
    </row>
    <row r="863" spans="1:159" x14ac:dyDescent="0.2">
      <c r="A863" s="6"/>
      <c r="B863" s="103" t="s">
        <v>309</v>
      </c>
      <c r="C863" s="6"/>
      <c r="D863" s="31"/>
      <c r="E863" s="31">
        <f>C863*D863</f>
        <v>0</v>
      </c>
      <c r="F863" s="31">
        <f t="shared" ref="F863" si="535">ROUND((D863*11%),0)</f>
        <v>0</v>
      </c>
      <c r="G863" s="31">
        <f t="shared" si="530"/>
        <v>0</v>
      </c>
      <c r="H863" s="31">
        <v>16551.61</v>
      </c>
      <c r="I863" s="41">
        <v>3.3639999999999999</v>
      </c>
      <c r="J863" s="31">
        <f t="shared" si="531"/>
        <v>55679.616040000001</v>
      </c>
      <c r="K863" s="31">
        <f t="shared" si="532"/>
        <v>0</v>
      </c>
      <c r="L863" s="31">
        <f t="shared" si="533"/>
        <v>55679.616040000001</v>
      </c>
      <c r="M863" s="31">
        <f t="shared" si="533"/>
        <v>0</v>
      </c>
      <c r="N863" s="31"/>
      <c r="O863" s="192">
        <f t="shared" si="534"/>
        <v>0</v>
      </c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34"/>
      <c r="AI863" s="134"/>
      <c r="AJ863" s="134"/>
      <c r="AK863" s="134"/>
      <c r="AL863" s="134"/>
      <c r="AM863" s="134"/>
      <c r="AN863" s="134"/>
      <c r="AO863" s="134"/>
      <c r="AP863" s="134"/>
      <c r="AQ863" s="134"/>
      <c r="AR863" s="134"/>
      <c r="AS863" s="134"/>
      <c r="AT863" s="134"/>
      <c r="AU863" s="134"/>
      <c r="AV863" s="134"/>
      <c r="AW863" s="134"/>
      <c r="AX863" s="134"/>
      <c r="AY863" s="134"/>
      <c r="AZ863" s="134"/>
      <c r="BA863" s="134"/>
      <c r="BB863" s="134"/>
      <c r="BC863" s="134"/>
      <c r="BD863" s="134"/>
      <c r="BE863" s="134"/>
      <c r="BF863" s="134"/>
      <c r="BG863" s="134"/>
      <c r="BH863" s="134"/>
      <c r="BI863" s="134"/>
      <c r="BJ863" s="134"/>
      <c r="BK863" s="134"/>
      <c r="BL863" s="134"/>
      <c r="BM863" s="134"/>
      <c r="BN863" s="134"/>
      <c r="BO863" s="134"/>
      <c r="BP863" s="134"/>
      <c r="BQ863" s="134"/>
      <c r="BR863" s="134"/>
      <c r="BS863" s="134"/>
      <c r="BT863" s="134"/>
      <c r="BU863" s="134"/>
      <c r="BV863" s="134"/>
      <c r="BW863" s="134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  <c r="CH863" s="43"/>
      <c r="CI863" s="43"/>
      <c r="CJ863" s="43"/>
      <c r="CK863" s="43"/>
      <c r="CL863" s="43"/>
      <c r="CM863" s="43"/>
      <c r="CN863" s="43"/>
      <c r="CO863" s="43"/>
      <c r="CP863" s="43"/>
      <c r="CQ863" s="43"/>
      <c r="CR863" s="43"/>
      <c r="CS863" s="43"/>
      <c r="CT863" s="43"/>
      <c r="CU863" s="43"/>
      <c r="CV863" s="43"/>
      <c r="CW863" s="43"/>
      <c r="CX863" s="43"/>
      <c r="CY863" s="43"/>
      <c r="CZ863" s="43"/>
      <c r="DA863" s="43"/>
      <c r="DB863" s="43"/>
      <c r="DC863" s="43"/>
      <c r="DD863" s="43"/>
      <c r="DE863" s="43"/>
      <c r="DF863" s="43"/>
      <c r="DG863" s="43"/>
      <c r="DH863" s="43"/>
      <c r="DI863" s="43"/>
      <c r="DJ863" s="43"/>
      <c r="DK863" s="43"/>
      <c r="DL863" s="43"/>
      <c r="DM863" s="43"/>
      <c r="DN863" s="43"/>
      <c r="DO863" s="43"/>
      <c r="DP863" s="43"/>
      <c r="DQ863" s="43"/>
      <c r="DR863" s="43"/>
      <c r="DS863" s="43"/>
      <c r="DT863" s="43"/>
      <c r="DU863" s="43"/>
      <c r="DV863" s="43"/>
      <c r="DW863" s="43"/>
      <c r="DX863" s="43"/>
      <c r="DY863" s="43"/>
      <c r="DZ863" s="43"/>
      <c r="EA863" s="43"/>
      <c r="EB863" s="43"/>
      <c r="EC863" s="43"/>
      <c r="ED863" s="43"/>
      <c r="EE863" s="43"/>
      <c r="EF863" s="43"/>
      <c r="EG863" s="43"/>
      <c r="EH863" s="43"/>
      <c r="EI863" s="43"/>
      <c r="EJ863" s="43"/>
      <c r="EK863" s="43"/>
      <c r="EL863" s="43"/>
      <c r="EM863" s="43"/>
      <c r="EN863" s="43"/>
      <c r="EO863" s="43"/>
      <c r="EP863" s="43"/>
      <c r="EQ863" s="43"/>
      <c r="ER863" s="43"/>
      <c r="ES863" s="43"/>
      <c r="ET863" s="43"/>
      <c r="EU863" s="43"/>
      <c r="EV863" s="43"/>
      <c r="EW863" s="43"/>
      <c r="EX863" s="43"/>
      <c r="EY863" s="43"/>
      <c r="EZ863" s="43"/>
      <c r="FA863" s="43"/>
      <c r="FB863" s="43"/>
      <c r="FC863" s="43"/>
    </row>
    <row r="864" spans="1:159" x14ac:dyDescent="0.2">
      <c r="A864" s="6"/>
      <c r="B864" s="17" t="s">
        <v>305</v>
      </c>
      <c r="C864" s="6"/>
      <c r="D864" s="31"/>
      <c r="E864" s="31"/>
      <c r="F864" s="31"/>
      <c r="G864" s="31"/>
      <c r="H864" s="31"/>
      <c r="I864" s="41"/>
      <c r="J864" s="31"/>
      <c r="K864" s="31"/>
      <c r="L864" s="31"/>
      <c r="M864" s="31"/>
      <c r="N864" s="31"/>
      <c r="O864" s="192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  <c r="AF864" s="134"/>
      <c r="AG864" s="134"/>
      <c r="AH864" s="134"/>
      <c r="AI864" s="134"/>
      <c r="AJ864" s="134"/>
      <c r="AK864" s="134"/>
      <c r="AL864" s="134"/>
      <c r="AM864" s="134"/>
      <c r="AN864" s="134"/>
      <c r="AO864" s="134"/>
      <c r="AP864" s="134"/>
      <c r="AQ864" s="134"/>
      <c r="AR864" s="134"/>
      <c r="AS864" s="134"/>
      <c r="AT864" s="134"/>
      <c r="AU864" s="134"/>
      <c r="AV864" s="134"/>
      <c r="AW864" s="134"/>
      <c r="AX864" s="134"/>
      <c r="AY864" s="134"/>
      <c r="AZ864" s="134"/>
      <c r="BA864" s="134"/>
      <c r="BB864" s="134"/>
      <c r="BC864" s="134"/>
      <c r="BD864" s="134"/>
      <c r="BE864" s="134"/>
      <c r="BF864" s="134"/>
      <c r="BG864" s="134"/>
      <c r="BH864" s="134"/>
      <c r="BI864" s="134"/>
      <c r="BJ864" s="134"/>
      <c r="BK864" s="134"/>
      <c r="BL864" s="134"/>
      <c r="BM864" s="134"/>
      <c r="BN864" s="134"/>
      <c r="BO864" s="134"/>
      <c r="BP864" s="134"/>
      <c r="BQ864" s="134"/>
      <c r="BR864" s="134"/>
      <c r="BS864" s="134"/>
      <c r="BT864" s="134"/>
      <c r="BU864" s="134"/>
      <c r="BV864" s="134"/>
      <c r="BW864" s="134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  <c r="CH864" s="43"/>
      <c r="CI864" s="43"/>
      <c r="CJ864" s="43"/>
      <c r="CK864" s="43"/>
      <c r="CL864" s="43"/>
      <c r="CM864" s="43"/>
      <c r="CN864" s="43"/>
      <c r="CO864" s="43"/>
      <c r="CP864" s="43"/>
      <c r="CQ864" s="43"/>
      <c r="CR864" s="43"/>
      <c r="CS864" s="43"/>
      <c r="CT864" s="43"/>
      <c r="CU864" s="43"/>
      <c r="CV864" s="43"/>
      <c r="CW864" s="43"/>
      <c r="CX864" s="43"/>
      <c r="CY864" s="43"/>
      <c r="CZ864" s="43"/>
      <c r="DA864" s="43"/>
      <c r="DB864" s="43"/>
      <c r="DC864" s="43"/>
      <c r="DD864" s="43"/>
      <c r="DE864" s="43"/>
      <c r="DF864" s="43"/>
      <c r="DG864" s="43"/>
      <c r="DH864" s="43"/>
      <c r="DI864" s="43"/>
      <c r="DJ864" s="43"/>
      <c r="DK864" s="43"/>
      <c r="DL864" s="43"/>
      <c r="DM864" s="43"/>
      <c r="DN864" s="43"/>
      <c r="DO864" s="43"/>
      <c r="DP864" s="43"/>
      <c r="DQ864" s="43"/>
      <c r="DR864" s="43"/>
      <c r="DS864" s="43"/>
      <c r="DT864" s="43"/>
      <c r="DU864" s="43"/>
      <c r="DV864" s="43"/>
      <c r="DW864" s="43"/>
      <c r="DX864" s="43"/>
      <c r="DY864" s="43"/>
      <c r="DZ864" s="43"/>
      <c r="EA864" s="43"/>
      <c r="EB864" s="43"/>
      <c r="EC864" s="43"/>
      <c r="ED864" s="43"/>
      <c r="EE864" s="43"/>
      <c r="EF864" s="43"/>
      <c r="EG864" s="43"/>
      <c r="EH864" s="43"/>
      <c r="EI864" s="43"/>
      <c r="EJ864" s="43"/>
      <c r="EK864" s="43"/>
      <c r="EL864" s="43"/>
      <c r="EM864" s="43"/>
      <c r="EN864" s="43"/>
      <c r="EO864" s="43"/>
      <c r="EP864" s="43"/>
      <c r="EQ864" s="43"/>
      <c r="ER864" s="43"/>
      <c r="ES864" s="43"/>
      <c r="ET864" s="43"/>
      <c r="EU864" s="43"/>
      <c r="EV864" s="43"/>
      <c r="EW864" s="43"/>
      <c r="EX864" s="43"/>
      <c r="EY864" s="43"/>
      <c r="EZ864" s="43"/>
      <c r="FA864" s="43"/>
      <c r="FB864" s="43"/>
      <c r="FC864" s="43"/>
    </row>
    <row r="865" spans="1:159" hidden="1" x14ac:dyDescent="0.2">
      <c r="A865" s="6"/>
      <c r="B865" s="10" t="s">
        <v>156</v>
      </c>
      <c r="C865" s="6"/>
      <c r="D865" s="31"/>
      <c r="E865" s="31"/>
      <c r="F865" s="31"/>
      <c r="G865" s="31"/>
      <c r="H865" s="31"/>
      <c r="I865" s="39"/>
      <c r="J865" s="31"/>
      <c r="K865" s="31"/>
      <c r="L865" s="31"/>
      <c r="M865" s="31"/>
      <c r="N865" s="31"/>
      <c r="O865" s="192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  <c r="AF865" s="134"/>
      <c r="AG865" s="134"/>
      <c r="AH865" s="134"/>
      <c r="AI865" s="134"/>
      <c r="AJ865" s="134"/>
      <c r="AK865" s="134"/>
      <c r="AL865" s="134"/>
      <c r="AM865" s="134"/>
      <c r="AN865" s="134"/>
      <c r="AO865" s="134"/>
      <c r="AP865" s="134"/>
      <c r="AQ865" s="134"/>
      <c r="AR865" s="134"/>
      <c r="AS865" s="134"/>
      <c r="AT865" s="134"/>
      <c r="AU865" s="134"/>
      <c r="AV865" s="134"/>
      <c r="AW865" s="134"/>
      <c r="AX865" s="134"/>
      <c r="AY865" s="134"/>
      <c r="AZ865" s="134"/>
      <c r="BA865" s="134"/>
      <c r="BB865" s="134"/>
      <c r="BC865" s="134"/>
      <c r="BD865" s="134"/>
      <c r="BE865" s="134"/>
      <c r="BF865" s="134"/>
      <c r="BG865" s="134"/>
      <c r="BH865" s="134"/>
      <c r="BI865" s="134"/>
      <c r="BJ865" s="134"/>
      <c r="BK865" s="134"/>
      <c r="BL865" s="134"/>
      <c r="BM865" s="134"/>
      <c r="BN865" s="134"/>
      <c r="BO865" s="134"/>
      <c r="BP865" s="134"/>
      <c r="BQ865" s="134"/>
      <c r="BR865" s="134"/>
      <c r="BS865" s="134"/>
      <c r="BT865" s="134"/>
      <c r="BU865" s="134"/>
      <c r="BV865" s="134"/>
      <c r="BW865" s="134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  <c r="CH865" s="43"/>
      <c r="CI865" s="43"/>
      <c r="CJ865" s="43"/>
      <c r="CK865" s="43"/>
      <c r="CL865" s="43"/>
      <c r="CM865" s="43"/>
      <c r="CN865" s="43"/>
      <c r="CO865" s="43"/>
      <c r="CP865" s="43"/>
      <c r="CQ865" s="43"/>
      <c r="CR865" s="43"/>
      <c r="CS865" s="43"/>
      <c r="CT865" s="43"/>
      <c r="CU865" s="43"/>
      <c r="CV865" s="43"/>
      <c r="CW865" s="43"/>
      <c r="CX865" s="43"/>
      <c r="CY865" s="43"/>
      <c r="CZ865" s="43"/>
      <c r="DA865" s="43"/>
      <c r="DB865" s="43"/>
      <c r="DC865" s="43"/>
      <c r="DD865" s="43"/>
      <c r="DE865" s="43"/>
      <c r="DF865" s="43"/>
      <c r="DG865" s="43"/>
      <c r="DH865" s="43"/>
      <c r="DI865" s="43"/>
      <c r="DJ865" s="43"/>
      <c r="DK865" s="43"/>
      <c r="DL865" s="43"/>
      <c r="DM865" s="43"/>
      <c r="DN865" s="43"/>
      <c r="DO865" s="43"/>
      <c r="DP865" s="43"/>
      <c r="DQ865" s="43"/>
      <c r="DR865" s="43"/>
      <c r="DS865" s="43"/>
      <c r="DT865" s="43"/>
      <c r="DU865" s="43"/>
      <c r="DV865" s="43"/>
      <c r="DW865" s="43"/>
      <c r="DX865" s="43"/>
      <c r="DY865" s="43"/>
      <c r="DZ865" s="43"/>
      <c r="EA865" s="43"/>
      <c r="EB865" s="43"/>
      <c r="EC865" s="43"/>
      <c r="ED865" s="43"/>
      <c r="EE865" s="43"/>
      <c r="EF865" s="43"/>
      <c r="EG865" s="43"/>
      <c r="EH865" s="43"/>
      <c r="EI865" s="43"/>
      <c r="EJ865" s="43"/>
      <c r="EK865" s="43"/>
      <c r="EL865" s="43"/>
      <c r="EM865" s="43"/>
      <c r="EN865" s="43"/>
      <c r="EO865" s="43"/>
      <c r="EP865" s="43"/>
      <c r="EQ865" s="43"/>
      <c r="ER865" s="43"/>
      <c r="ES865" s="43"/>
      <c r="ET865" s="43"/>
      <c r="EU865" s="43"/>
      <c r="EV865" s="43"/>
      <c r="EW865" s="43"/>
      <c r="EX865" s="43"/>
      <c r="EY865" s="43"/>
      <c r="EZ865" s="43"/>
      <c r="FA865" s="43"/>
      <c r="FB865" s="43"/>
      <c r="FC865" s="43"/>
    </row>
    <row r="866" spans="1:159" hidden="1" x14ac:dyDescent="0.2">
      <c r="A866" s="6"/>
      <c r="B866" s="17" t="s">
        <v>157</v>
      </c>
      <c r="C866" s="6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192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  <c r="AF866" s="134"/>
      <c r="AG866" s="134"/>
      <c r="AH866" s="134"/>
      <c r="AI866" s="134"/>
      <c r="AJ866" s="134"/>
      <c r="AK866" s="134"/>
      <c r="AL866" s="134"/>
      <c r="AM866" s="134"/>
      <c r="AN866" s="134"/>
      <c r="AO866" s="134"/>
      <c r="AP866" s="134"/>
      <c r="AQ866" s="134"/>
      <c r="AR866" s="134"/>
      <c r="AS866" s="134"/>
      <c r="AT866" s="134"/>
      <c r="AU866" s="134"/>
      <c r="AV866" s="134"/>
      <c r="AW866" s="134"/>
      <c r="AX866" s="134"/>
      <c r="AY866" s="134"/>
      <c r="AZ866" s="134"/>
      <c r="BA866" s="134"/>
      <c r="BB866" s="134"/>
      <c r="BC866" s="134"/>
      <c r="BD866" s="134"/>
      <c r="BE866" s="134"/>
      <c r="BF866" s="134"/>
      <c r="BG866" s="134"/>
      <c r="BH866" s="134"/>
      <c r="BI866" s="134"/>
      <c r="BJ866" s="134"/>
      <c r="BK866" s="134"/>
      <c r="BL866" s="134"/>
      <c r="BM866" s="134"/>
      <c r="BN866" s="134"/>
      <c r="BO866" s="134"/>
      <c r="BP866" s="134"/>
      <c r="BQ866" s="134"/>
      <c r="BR866" s="134"/>
      <c r="BS866" s="134"/>
      <c r="BT866" s="134"/>
      <c r="BU866" s="134"/>
      <c r="BV866" s="134"/>
      <c r="BW866" s="134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  <c r="CH866" s="43"/>
      <c r="CI866" s="43"/>
      <c r="CJ866" s="43"/>
      <c r="CK866" s="43"/>
      <c r="CL866" s="43"/>
      <c r="CM866" s="43"/>
      <c r="CN866" s="43"/>
      <c r="CO866" s="43"/>
      <c r="CP866" s="43"/>
      <c r="CQ866" s="43"/>
      <c r="CR866" s="43"/>
      <c r="CS866" s="43"/>
      <c r="CT866" s="43"/>
      <c r="CU866" s="43"/>
      <c r="CV866" s="43"/>
      <c r="CW866" s="43"/>
      <c r="CX866" s="43"/>
      <c r="CY866" s="43"/>
      <c r="CZ866" s="43"/>
      <c r="DA866" s="43"/>
      <c r="DB866" s="43"/>
      <c r="DC866" s="43"/>
      <c r="DD866" s="43"/>
      <c r="DE866" s="43"/>
      <c r="DF866" s="43"/>
      <c r="DG866" s="43"/>
      <c r="DH866" s="43"/>
      <c r="DI866" s="43"/>
      <c r="DJ866" s="43"/>
      <c r="DK866" s="43"/>
      <c r="DL866" s="43"/>
      <c r="DM866" s="43"/>
      <c r="DN866" s="43"/>
      <c r="DO866" s="43"/>
      <c r="DP866" s="43"/>
      <c r="DQ866" s="43"/>
      <c r="DR866" s="43"/>
      <c r="DS866" s="43"/>
      <c r="DT866" s="43"/>
      <c r="DU866" s="43"/>
      <c r="DV866" s="43"/>
      <c r="DW866" s="43"/>
      <c r="DX866" s="43"/>
      <c r="DY866" s="43"/>
      <c r="DZ866" s="43"/>
      <c r="EA866" s="43"/>
      <c r="EB866" s="43"/>
      <c r="EC866" s="43"/>
      <c r="ED866" s="43"/>
      <c r="EE866" s="43"/>
      <c r="EF866" s="43"/>
      <c r="EG866" s="43"/>
      <c r="EH866" s="43"/>
      <c r="EI866" s="43"/>
      <c r="EJ866" s="43"/>
      <c r="EK866" s="43"/>
      <c r="EL866" s="43"/>
      <c r="EM866" s="43"/>
      <c r="EN866" s="43"/>
      <c r="EO866" s="43"/>
      <c r="EP866" s="43"/>
      <c r="EQ866" s="43"/>
      <c r="ER866" s="43"/>
      <c r="ES866" s="43"/>
      <c r="ET866" s="43"/>
      <c r="EU866" s="43"/>
      <c r="EV866" s="43"/>
      <c r="EW866" s="43"/>
      <c r="EX866" s="43"/>
      <c r="EY866" s="43"/>
      <c r="EZ866" s="43"/>
      <c r="FA866" s="43"/>
      <c r="FB866" s="43"/>
      <c r="FC866" s="43"/>
    </row>
    <row r="867" spans="1:159" ht="38.25" hidden="1" x14ac:dyDescent="0.2">
      <c r="A867" s="6" t="s">
        <v>101</v>
      </c>
      <c r="B867" s="103" t="s">
        <v>162</v>
      </c>
      <c r="C867" s="6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192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  <c r="AF867" s="134"/>
      <c r="AG867" s="134"/>
      <c r="AH867" s="134"/>
      <c r="AI867" s="134"/>
      <c r="AJ867" s="134"/>
      <c r="AK867" s="134"/>
      <c r="AL867" s="134"/>
      <c r="AM867" s="134"/>
      <c r="AN867" s="134"/>
      <c r="AO867" s="134"/>
      <c r="AP867" s="134"/>
      <c r="AQ867" s="134"/>
      <c r="AR867" s="134"/>
      <c r="AS867" s="134"/>
      <c r="AT867" s="134"/>
      <c r="AU867" s="134"/>
      <c r="AV867" s="134"/>
      <c r="AW867" s="134"/>
      <c r="AX867" s="134"/>
      <c r="AY867" s="134"/>
      <c r="AZ867" s="134"/>
      <c r="BA867" s="134"/>
      <c r="BB867" s="134"/>
      <c r="BC867" s="134"/>
      <c r="BD867" s="134"/>
      <c r="BE867" s="134"/>
      <c r="BF867" s="134"/>
      <c r="BG867" s="134"/>
      <c r="BH867" s="134"/>
      <c r="BI867" s="134"/>
      <c r="BJ867" s="134"/>
      <c r="BK867" s="134"/>
      <c r="BL867" s="134"/>
      <c r="BM867" s="134"/>
      <c r="BN867" s="134"/>
      <c r="BO867" s="134"/>
      <c r="BP867" s="134"/>
      <c r="BQ867" s="134"/>
      <c r="BR867" s="134"/>
      <c r="BS867" s="134"/>
      <c r="BT867" s="134"/>
      <c r="BU867" s="134"/>
      <c r="BV867" s="134"/>
      <c r="BW867" s="134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  <c r="CH867" s="43"/>
      <c r="CI867" s="43"/>
      <c r="CJ867" s="43"/>
      <c r="CK867" s="43"/>
      <c r="CL867" s="43"/>
      <c r="CM867" s="43"/>
      <c r="CN867" s="43"/>
      <c r="CO867" s="43"/>
      <c r="CP867" s="43"/>
      <c r="CQ867" s="43"/>
      <c r="CR867" s="43"/>
      <c r="CS867" s="43"/>
      <c r="CT867" s="43"/>
      <c r="CU867" s="43"/>
      <c r="CV867" s="43"/>
      <c r="CW867" s="43"/>
      <c r="CX867" s="43"/>
      <c r="CY867" s="43"/>
      <c r="CZ867" s="43"/>
      <c r="DA867" s="43"/>
      <c r="DB867" s="43"/>
      <c r="DC867" s="43"/>
      <c r="DD867" s="43"/>
      <c r="DE867" s="43"/>
      <c r="DF867" s="43"/>
      <c r="DG867" s="43"/>
      <c r="DH867" s="43"/>
      <c r="DI867" s="43"/>
      <c r="DJ867" s="43"/>
      <c r="DK867" s="43"/>
      <c r="DL867" s="43"/>
      <c r="DM867" s="43"/>
      <c r="DN867" s="43"/>
      <c r="DO867" s="43"/>
      <c r="DP867" s="43"/>
      <c r="DQ867" s="43"/>
      <c r="DR867" s="43"/>
      <c r="DS867" s="43"/>
      <c r="DT867" s="43"/>
      <c r="DU867" s="43"/>
      <c r="DV867" s="43"/>
      <c r="DW867" s="43"/>
      <c r="DX867" s="43"/>
      <c r="DY867" s="43"/>
      <c r="DZ867" s="43"/>
      <c r="EA867" s="43"/>
      <c r="EB867" s="43"/>
      <c r="EC867" s="43"/>
      <c r="ED867" s="43"/>
      <c r="EE867" s="43"/>
      <c r="EF867" s="43"/>
      <c r="EG867" s="43"/>
      <c r="EH867" s="43"/>
      <c r="EI867" s="43"/>
      <c r="EJ867" s="43"/>
      <c r="EK867" s="43"/>
      <c r="EL867" s="43"/>
      <c r="EM867" s="43"/>
      <c r="EN867" s="43"/>
      <c r="EO867" s="43"/>
      <c r="EP867" s="43"/>
      <c r="EQ867" s="43"/>
      <c r="ER867" s="43"/>
      <c r="ES867" s="43"/>
      <c r="ET867" s="43"/>
      <c r="EU867" s="43"/>
      <c r="EV867" s="43"/>
      <c r="EW867" s="43"/>
      <c r="EX867" s="43"/>
      <c r="EY867" s="43"/>
      <c r="EZ867" s="43"/>
      <c r="FA867" s="43"/>
      <c r="FB867" s="43"/>
      <c r="FC867" s="43"/>
    </row>
    <row r="868" spans="1:159" s="11" customFormat="1" hidden="1" x14ac:dyDescent="0.2">
      <c r="A868" s="4">
        <v>6</v>
      </c>
      <c r="B868" s="5" t="s">
        <v>170</v>
      </c>
      <c r="C868" s="4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190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  <c r="AA868" s="189"/>
      <c r="AB868" s="189"/>
      <c r="AC868" s="189"/>
      <c r="AD868" s="189"/>
      <c r="AE868" s="189"/>
      <c r="AF868" s="189"/>
      <c r="AG868" s="189"/>
      <c r="AH868" s="189"/>
      <c r="AI868" s="189"/>
      <c r="AJ868" s="189"/>
      <c r="AK868" s="189"/>
      <c r="AL868" s="189"/>
      <c r="AM868" s="189"/>
      <c r="AN868" s="189"/>
      <c r="AO868" s="189"/>
      <c r="AP868" s="189"/>
      <c r="AQ868" s="189"/>
      <c r="AR868" s="189"/>
      <c r="AS868" s="189"/>
      <c r="AT868" s="189"/>
      <c r="AU868" s="189"/>
      <c r="AV868" s="189"/>
      <c r="AW868" s="189"/>
      <c r="AX868" s="189"/>
      <c r="AY868" s="189"/>
      <c r="AZ868" s="189"/>
      <c r="BA868" s="189"/>
      <c r="BB868" s="189"/>
      <c r="BC868" s="189"/>
      <c r="BD868" s="189"/>
      <c r="BE868" s="189"/>
      <c r="BF868" s="189"/>
      <c r="BG868" s="189"/>
      <c r="BH868" s="189"/>
      <c r="BI868" s="189"/>
      <c r="BJ868" s="189"/>
      <c r="BK868" s="189"/>
      <c r="BL868" s="189"/>
      <c r="BM868" s="189"/>
      <c r="BN868" s="189"/>
      <c r="BO868" s="189"/>
      <c r="BP868" s="189"/>
      <c r="BQ868" s="189"/>
      <c r="BR868" s="189"/>
      <c r="BS868" s="189"/>
      <c r="BT868" s="189"/>
      <c r="BU868" s="189"/>
      <c r="BV868" s="189"/>
      <c r="BW868" s="189"/>
      <c r="BX868" s="44"/>
      <c r="BY868" s="44"/>
      <c r="BZ868" s="44"/>
      <c r="CA868" s="44"/>
      <c r="CB868" s="44"/>
      <c r="CC868" s="44"/>
      <c r="CD868" s="44"/>
      <c r="CE868" s="44"/>
      <c r="CF868" s="44"/>
      <c r="CG868" s="44"/>
      <c r="CH868" s="44"/>
      <c r="CI868" s="44"/>
      <c r="CJ868" s="44"/>
      <c r="CK868" s="44"/>
      <c r="CL868" s="44"/>
      <c r="CM868" s="44"/>
      <c r="CN868" s="44"/>
      <c r="CO868" s="44"/>
      <c r="CP868" s="44"/>
      <c r="CQ868" s="44"/>
      <c r="CR868" s="44"/>
      <c r="CS868" s="44"/>
      <c r="CT868" s="44"/>
      <c r="CU868" s="44"/>
      <c r="CV868" s="44"/>
      <c r="CW868" s="44"/>
      <c r="CX868" s="44"/>
      <c r="CY868" s="44"/>
      <c r="CZ868" s="44"/>
      <c r="DA868" s="44"/>
      <c r="DB868" s="44"/>
      <c r="DC868" s="44"/>
      <c r="DD868" s="44"/>
      <c r="DE868" s="44"/>
      <c r="DF868" s="44"/>
      <c r="DG868" s="44"/>
      <c r="DH868" s="44"/>
      <c r="DI868" s="44"/>
      <c r="DJ868" s="44"/>
      <c r="DK868" s="44"/>
      <c r="DL868" s="44"/>
      <c r="DM868" s="44"/>
      <c r="DN868" s="44"/>
      <c r="DO868" s="44"/>
      <c r="DP868" s="44"/>
      <c r="DQ868" s="44"/>
      <c r="DR868" s="44"/>
      <c r="DS868" s="44"/>
      <c r="DT868" s="44"/>
      <c r="DU868" s="44"/>
      <c r="DV868" s="44"/>
      <c r="DW868" s="44"/>
      <c r="DX868" s="44"/>
      <c r="DY868" s="44"/>
      <c r="DZ868" s="44"/>
      <c r="EA868" s="44"/>
      <c r="EB868" s="44"/>
      <c r="EC868" s="44"/>
      <c r="ED868" s="44"/>
      <c r="EE868" s="44"/>
      <c r="EF868" s="44"/>
      <c r="EG868" s="44"/>
      <c r="EH868" s="44"/>
      <c r="EI868" s="44"/>
      <c r="EJ868" s="44"/>
      <c r="EK868" s="44"/>
      <c r="EL868" s="44"/>
      <c r="EM868" s="44"/>
      <c r="EN868" s="44"/>
      <c r="EO868" s="44"/>
      <c r="EP868" s="44"/>
      <c r="EQ868" s="44"/>
      <c r="ER868" s="44"/>
      <c r="ES868" s="44"/>
      <c r="ET868" s="44"/>
      <c r="EU868" s="44"/>
      <c r="EV868" s="44"/>
      <c r="EW868" s="44"/>
      <c r="EX868" s="44"/>
      <c r="EY868" s="44"/>
      <c r="EZ868" s="44"/>
      <c r="FA868" s="44"/>
      <c r="FB868" s="44"/>
      <c r="FC868" s="44"/>
    </row>
    <row r="869" spans="1:159" ht="25.5" hidden="1" x14ac:dyDescent="0.2">
      <c r="A869" s="6" t="s">
        <v>102</v>
      </c>
      <c r="B869" s="16" t="s">
        <v>166</v>
      </c>
      <c r="C869" s="6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192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34"/>
      <c r="AI869" s="134"/>
      <c r="AJ869" s="134"/>
      <c r="AK869" s="134"/>
      <c r="AL869" s="134"/>
      <c r="AM869" s="134"/>
      <c r="AN869" s="134"/>
      <c r="AO869" s="134"/>
      <c r="AP869" s="134"/>
      <c r="AQ869" s="134"/>
      <c r="AR869" s="134"/>
      <c r="AS869" s="134"/>
      <c r="AT869" s="134"/>
      <c r="AU869" s="134"/>
      <c r="AV869" s="134"/>
      <c r="AW869" s="134"/>
      <c r="AX869" s="134"/>
      <c r="AY869" s="134"/>
      <c r="AZ869" s="134"/>
      <c r="BA869" s="134"/>
      <c r="BB869" s="134"/>
      <c r="BC869" s="134"/>
      <c r="BD869" s="134"/>
      <c r="BE869" s="134"/>
      <c r="BF869" s="134"/>
      <c r="BG869" s="134"/>
      <c r="BH869" s="134"/>
      <c r="BI869" s="134"/>
      <c r="BJ869" s="134"/>
      <c r="BK869" s="134"/>
      <c r="BL869" s="134"/>
      <c r="BM869" s="134"/>
      <c r="BN869" s="134"/>
      <c r="BO869" s="134"/>
      <c r="BP869" s="134"/>
      <c r="BQ869" s="134"/>
      <c r="BR869" s="134"/>
      <c r="BS869" s="134"/>
      <c r="BT869" s="134"/>
      <c r="BU869" s="134"/>
      <c r="BV869" s="134"/>
      <c r="BW869" s="134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  <c r="CH869" s="43"/>
      <c r="CI869" s="43"/>
      <c r="CJ869" s="43"/>
      <c r="CK869" s="43"/>
      <c r="CL869" s="43"/>
      <c r="CM869" s="43"/>
      <c r="CN869" s="43"/>
      <c r="CO869" s="43"/>
      <c r="CP869" s="43"/>
      <c r="CQ869" s="43"/>
      <c r="CR869" s="43"/>
      <c r="CS869" s="43"/>
      <c r="CT869" s="43"/>
      <c r="CU869" s="43"/>
      <c r="CV869" s="43"/>
      <c r="CW869" s="43"/>
      <c r="CX869" s="43"/>
      <c r="CY869" s="43"/>
      <c r="CZ869" s="43"/>
      <c r="DA869" s="43"/>
      <c r="DB869" s="43"/>
      <c r="DC869" s="43"/>
      <c r="DD869" s="43"/>
      <c r="DE869" s="43"/>
      <c r="DF869" s="43"/>
      <c r="DG869" s="43"/>
      <c r="DH869" s="43"/>
      <c r="DI869" s="43"/>
      <c r="DJ869" s="43"/>
      <c r="DK869" s="43"/>
      <c r="DL869" s="43"/>
      <c r="DM869" s="43"/>
      <c r="DN869" s="43"/>
      <c r="DO869" s="43"/>
      <c r="DP869" s="43"/>
      <c r="DQ869" s="43"/>
      <c r="DR869" s="43"/>
      <c r="DS869" s="43"/>
      <c r="DT869" s="43"/>
      <c r="DU869" s="43"/>
      <c r="DV869" s="43"/>
      <c r="DW869" s="43"/>
      <c r="DX869" s="43"/>
      <c r="DY869" s="43"/>
      <c r="DZ869" s="43"/>
      <c r="EA869" s="43"/>
      <c r="EB869" s="43"/>
      <c r="EC869" s="43"/>
      <c r="ED869" s="43"/>
      <c r="EE869" s="43"/>
      <c r="EF869" s="43"/>
      <c r="EG869" s="43"/>
      <c r="EH869" s="43"/>
      <c r="EI869" s="43"/>
      <c r="EJ869" s="43"/>
      <c r="EK869" s="43"/>
      <c r="EL869" s="43"/>
      <c r="EM869" s="43"/>
      <c r="EN869" s="43"/>
      <c r="EO869" s="43"/>
      <c r="EP869" s="43"/>
      <c r="EQ869" s="43"/>
      <c r="ER869" s="43"/>
      <c r="ES869" s="43"/>
      <c r="ET869" s="43"/>
      <c r="EU869" s="43"/>
      <c r="EV869" s="43"/>
      <c r="EW869" s="43"/>
      <c r="EX869" s="43"/>
      <c r="EY869" s="43"/>
      <c r="EZ869" s="43"/>
      <c r="FA869" s="43"/>
      <c r="FB869" s="43"/>
      <c r="FC869" s="43"/>
    </row>
    <row r="870" spans="1:159" hidden="1" x14ac:dyDescent="0.2">
      <c r="A870" s="6"/>
      <c r="B870" s="103" t="s">
        <v>91</v>
      </c>
      <c r="C870" s="6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192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34"/>
      <c r="AI870" s="134"/>
      <c r="AJ870" s="134"/>
      <c r="AK870" s="134"/>
      <c r="AL870" s="134"/>
      <c r="AM870" s="134"/>
      <c r="AN870" s="134"/>
      <c r="AO870" s="134"/>
      <c r="AP870" s="134"/>
      <c r="AQ870" s="134"/>
      <c r="AR870" s="134"/>
      <c r="AS870" s="134"/>
      <c r="AT870" s="134"/>
      <c r="AU870" s="134"/>
      <c r="AV870" s="134"/>
      <c r="AW870" s="134"/>
      <c r="AX870" s="134"/>
      <c r="AY870" s="134"/>
      <c r="AZ870" s="134"/>
      <c r="BA870" s="134"/>
      <c r="BB870" s="134"/>
      <c r="BC870" s="134"/>
      <c r="BD870" s="134"/>
      <c r="BE870" s="134"/>
      <c r="BF870" s="134"/>
      <c r="BG870" s="134"/>
      <c r="BH870" s="134"/>
      <c r="BI870" s="134"/>
      <c r="BJ870" s="134"/>
      <c r="BK870" s="134"/>
      <c r="BL870" s="134"/>
      <c r="BM870" s="134"/>
      <c r="BN870" s="134"/>
      <c r="BO870" s="134"/>
      <c r="BP870" s="134"/>
      <c r="BQ870" s="134"/>
      <c r="BR870" s="134"/>
      <c r="BS870" s="134"/>
      <c r="BT870" s="134"/>
      <c r="BU870" s="134"/>
      <c r="BV870" s="134"/>
      <c r="BW870" s="134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  <c r="CH870" s="43"/>
      <c r="CI870" s="43"/>
      <c r="CJ870" s="43"/>
      <c r="CK870" s="43"/>
      <c r="CL870" s="43"/>
      <c r="CM870" s="43"/>
      <c r="CN870" s="43"/>
      <c r="CO870" s="43"/>
      <c r="CP870" s="43"/>
      <c r="CQ870" s="43"/>
      <c r="CR870" s="43"/>
      <c r="CS870" s="43"/>
      <c r="CT870" s="43"/>
      <c r="CU870" s="43"/>
      <c r="CV870" s="43"/>
      <c r="CW870" s="43"/>
      <c r="CX870" s="43"/>
      <c r="CY870" s="43"/>
      <c r="CZ870" s="43"/>
      <c r="DA870" s="43"/>
      <c r="DB870" s="43"/>
      <c r="DC870" s="43"/>
      <c r="DD870" s="43"/>
      <c r="DE870" s="43"/>
      <c r="DF870" s="43"/>
      <c r="DG870" s="43"/>
      <c r="DH870" s="43"/>
      <c r="DI870" s="43"/>
      <c r="DJ870" s="43"/>
      <c r="DK870" s="43"/>
      <c r="DL870" s="43"/>
      <c r="DM870" s="43"/>
      <c r="DN870" s="43"/>
      <c r="DO870" s="43"/>
      <c r="DP870" s="43"/>
      <c r="DQ870" s="43"/>
      <c r="DR870" s="43"/>
      <c r="DS870" s="43"/>
      <c r="DT870" s="43"/>
      <c r="DU870" s="43"/>
      <c r="DV870" s="43"/>
      <c r="DW870" s="43"/>
      <c r="DX870" s="43"/>
      <c r="DY870" s="43"/>
      <c r="DZ870" s="43"/>
      <c r="EA870" s="43"/>
      <c r="EB870" s="43"/>
      <c r="EC870" s="43"/>
      <c r="ED870" s="43"/>
      <c r="EE870" s="43"/>
      <c r="EF870" s="43"/>
      <c r="EG870" s="43"/>
      <c r="EH870" s="43"/>
      <c r="EI870" s="43"/>
      <c r="EJ870" s="43"/>
      <c r="EK870" s="43"/>
      <c r="EL870" s="43"/>
      <c r="EM870" s="43"/>
      <c r="EN870" s="43"/>
      <c r="EO870" s="43"/>
      <c r="EP870" s="43"/>
      <c r="EQ870" s="43"/>
      <c r="ER870" s="43"/>
      <c r="ES870" s="43"/>
      <c r="ET870" s="43"/>
      <c r="EU870" s="43"/>
      <c r="EV870" s="43"/>
      <c r="EW870" s="43"/>
      <c r="EX870" s="43"/>
      <c r="EY870" s="43"/>
      <c r="EZ870" s="43"/>
      <c r="FA870" s="43"/>
      <c r="FB870" s="43"/>
      <c r="FC870" s="43"/>
    </row>
    <row r="871" spans="1:159" hidden="1" x14ac:dyDescent="0.2">
      <c r="A871" s="6"/>
      <c r="B871" s="7" t="s">
        <v>92</v>
      </c>
      <c r="C871" s="6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192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34"/>
      <c r="AI871" s="134"/>
      <c r="AJ871" s="134"/>
      <c r="AK871" s="134"/>
      <c r="AL871" s="134"/>
      <c r="AM871" s="134"/>
      <c r="AN871" s="134"/>
      <c r="AO871" s="134"/>
      <c r="AP871" s="134"/>
      <c r="AQ871" s="134"/>
      <c r="AR871" s="134"/>
      <c r="AS871" s="134"/>
      <c r="AT871" s="134"/>
      <c r="AU871" s="134"/>
      <c r="AV871" s="134"/>
      <c r="AW871" s="134"/>
      <c r="AX871" s="134"/>
      <c r="AY871" s="134"/>
      <c r="AZ871" s="134"/>
      <c r="BA871" s="134"/>
      <c r="BB871" s="134"/>
      <c r="BC871" s="134"/>
      <c r="BD871" s="134"/>
      <c r="BE871" s="134"/>
      <c r="BF871" s="134"/>
      <c r="BG871" s="134"/>
      <c r="BH871" s="134"/>
      <c r="BI871" s="134"/>
      <c r="BJ871" s="134"/>
      <c r="BK871" s="134"/>
      <c r="BL871" s="134"/>
      <c r="BM871" s="134"/>
      <c r="BN871" s="134"/>
      <c r="BO871" s="134"/>
      <c r="BP871" s="134"/>
      <c r="BQ871" s="134"/>
      <c r="BR871" s="134"/>
      <c r="BS871" s="134"/>
      <c r="BT871" s="134"/>
      <c r="BU871" s="134"/>
      <c r="BV871" s="134"/>
      <c r="BW871" s="134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  <c r="CH871" s="43"/>
      <c r="CI871" s="43"/>
      <c r="CJ871" s="43"/>
      <c r="CK871" s="43"/>
      <c r="CL871" s="43"/>
      <c r="CM871" s="43"/>
      <c r="CN871" s="43"/>
      <c r="CO871" s="43"/>
      <c r="CP871" s="43"/>
      <c r="CQ871" s="43"/>
      <c r="CR871" s="43"/>
      <c r="CS871" s="43"/>
      <c r="CT871" s="43"/>
      <c r="CU871" s="43"/>
      <c r="CV871" s="43"/>
      <c r="CW871" s="43"/>
      <c r="CX871" s="43"/>
      <c r="CY871" s="43"/>
      <c r="CZ871" s="43"/>
      <c r="DA871" s="43"/>
      <c r="DB871" s="43"/>
      <c r="DC871" s="43"/>
      <c r="DD871" s="43"/>
      <c r="DE871" s="43"/>
      <c r="DF871" s="43"/>
      <c r="DG871" s="43"/>
      <c r="DH871" s="43"/>
      <c r="DI871" s="43"/>
      <c r="DJ871" s="43"/>
      <c r="DK871" s="43"/>
      <c r="DL871" s="43"/>
      <c r="DM871" s="43"/>
      <c r="DN871" s="43"/>
      <c r="DO871" s="43"/>
      <c r="DP871" s="43"/>
      <c r="DQ871" s="43"/>
      <c r="DR871" s="43"/>
      <c r="DS871" s="43"/>
      <c r="DT871" s="43"/>
      <c r="DU871" s="43"/>
      <c r="DV871" s="43"/>
      <c r="DW871" s="43"/>
      <c r="DX871" s="43"/>
      <c r="DY871" s="43"/>
      <c r="DZ871" s="43"/>
      <c r="EA871" s="43"/>
      <c r="EB871" s="43"/>
      <c r="EC871" s="43"/>
      <c r="ED871" s="43"/>
      <c r="EE871" s="43"/>
      <c r="EF871" s="43"/>
      <c r="EG871" s="43"/>
      <c r="EH871" s="43"/>
      <c r="EI871" s="43"/>
      <c r="EJ871" s="43"/>
      <c r="EK871" s="43"/>
      <c r="EL871" s="43"/>
      <c r="EM871" s="43"/>
      <c r="EN871" s="43"/>
      <c r="EO871" s="43"/>
      <c r="EP871" s="43"/>
      <c r="EQ871" s="43"/>
      <c r="ER871" s="43"/>
      <c r="ES871" s="43"/>
      <c r="ET871" s="43"/>
      <c r="EU871" s="43"/>
      <c r="EV871" s="43"/>
      <c r="EW871" s="43"/>
      <c r="EX871" s="43"/>
      <c r="EY871" s="43"/>
      <c r="EZ871" s="43"/>
      <c r="FA871" s="43"/>
      <c r="FB871" s="43"/>
      <c r="FC871" s="43"/>
    </row>
    <row r="872" spans="1:159" hidden="1" x14ac:dyDescent="0.2">
      <c r="A872" s="6"/>
      <c r="B872" s="103" t="s">
        <v>156</v>
      </c>
      <c r="C872" s="6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192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  <c r="AF872" s="134"/>
      <c r="AG872" s="134"/>
      <c r="AH872" s="134"/>
      <c r="AI872" s="134"/>
      <c r="AJ872" s="134"/>
      <c r="AK872" s="134"/>
      <c r="AL872" s="134"/>
      <c r="AM872" s="134"/>
      <c r="AN872" s="134"/>
      <c r="AO872" s="134"/>
      <c r="AP872" s="134"/>
      <c r="AQ872" s="134"/>
      <c r="AR872" s="134"/>
      <c r="AS872" s="134"/>
      <c r="AT872" s="134"/>
      <c r="AU872" s="134"/>
      <c r="AV872" s="134"/>
      <c r="AW872" s="134"/>
      <c r="AX872" s="134"/>
      <c r="AY872" s="134"/>
      <c r="AZ872" s="134"/>
      <c r="BA872" s="134"/>
      <c r="BB872" s="134"/>
      <c r="BC872" s="134"/>
      <c r="BD872" s="134"/>
      <c r="BE872" s="134"/>
      <c r="BF872" s="134"/>
      <c r="BG872" s="134"/>
      <c r="BH872" s="134"/>
      <c r="BI872" s="134"/>
      <c r="BJ872" s="134"/>
      <c r="BK872" s="134"/>
      <c r="BL872" s="134"/>
      <c r="BM872" s="134"/>
      <c r="BN872" s="134"/>
      <c r="BO872" s="134"/>
      <c r="BP872" s="134"/>
      <c r="BQ872" s="134"/>
      <c r="BR872" s="134"/>
      <c r="BS872" s="134"/>
      <c r="BT872" s="134"/>
      <c r="BU872" s="134"/>
      <c r="BV872" s="134"/>
      <c r="BW872" s="134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  <c r="CH872" s="43"/>
      <c r="CI872" s="43"/>
      <c r="CJ872" s="43"/>
      <c r="CK872" s="43"/>
      <c r="CL872" s="43"/>
      <c r="CM872" s="43"/>
      <c r="CN872" s="43"/>
      <c r="CO872" s="43"/>
      <c r="CP872" s="43"/>
      <c r="CQ872" s="43"/>
      <c r="CR872" s="43"/>
      <c r="CS872" s="43"/>
      <c r="CT872" s="43"/>
      <c r="CU872" s="43"/>
      <c r="CV872" s="43"/>
      <c r="CW872" s="43"/>
      <c r="CX872" s="43"/>
      <c r="CY872" s="43"/>
      <c r="CZ872" s="43"/>
      <c r="DA872" s="43"/>
      <c r="DB872" s="43"/>
      <c r="DC872" s="43"/>
      <c r="DD872" s="43"/>
      <c r="DE872" s="43"/>
      <c r="DF872" s="43"/>
      <c r="DG872" s="43"/>
      <c r="DH872" s="43"/>
      <c r="DI872" s="43"/>
      <c r="DJ872" s="43"/>
      <c r="DK872" s="43"/>
      <c r="DL872" s="43"/>
      <c r="DM872" s="43"/>
      <c r="DN872" s="43"/>
      <c r="DO872" s="43"/>
      <c r="DP872" s="43"/>
      <c r="DQ872" s="43"/>
      <c r="DR872" s="43"/>
      <c r="DS872" s="43"/>
      <c r="DT872" s="43"/>
      <c r="DU872" s="43"/>
      <c r="DV872" s="43"/>
      <c r="DW872" s="43"/>
      <c r="DX872" s="43"/>
      <c r="DY872" s="43"/>
      <c r="DZ872" s="43"/>
      <c r="EA872" s="43"/>
      <c r="EB872" s="43"/>
      <c r="EC872" s="43"/>
      <c r="ED872" s="43"/>
      <c r="EE872" s="43"/>
      <c r="EF872" s="43"/>
      <c r="EG872" s="43"/>
      <c r="EH872" s="43"/>
      <c r="EI872" s="43"/>
      <c r="EJ872" s="43"/>
      <c r="EK872" s="43"/>
      <c r="EL872" s="43"/>
      <c r="EM872" s="43"/>
      <c r="EN872" s="43"/>
      <c r="EO872" s="43"/>
      <c r="EP872" s="43"/>
      <c r="EQ872" s="43"/>
      <c r="ER872" s="43"/>
      <c r="ES872" s="43"/>
      <c r="ET872" s="43"/>
      <c r="EU872" s="43"/>
      <c r="EV872" s="43"/>
      <c r="EW872" s="43"/>
      <c r="EX872" s="43"/>
      <c r="EY872" s="43"/>
      <c r="EZ872" s="43"/>
      <c r="FA872" s="43"/>
      <c r="FB872" s="43"/>
      <c r="FC872" s="43"/>
    </row>
    <row r="873" spans="1:159" hidden="1" x14ac:dyDescent="0.2">
      <c r="A873" s="6"/>
      <c r="B873" s="7" t="s">
        <v>157</v>
      </c>
      <c r="C873" s="6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192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  <c r="AF873" s="134"/>
      <c r="AG873" s="134"/>
      <c r="AH873" s="134"/>
      <c r="AI873" s="134"/>
      <c r="AJ873" s="134"/>
      <c r="AK873" s="134"/>
      <c r="AL873" s="134"/>
      <c r="AM873" s="134"/>
      <c r="AN873" s="134"/>
      <c r="AO873" s="134"/>
      <c r="AP873" s="134"/>
      <c r="AQ873" s="134"/>
      <c r="AR873" s="134"/>
      <c r="AS873" s="134"/>
      <c r="AT873" s="134"/>
      <c r="AU873" s="134"/>
      <c r="AV873" s="134"/>
      <c r="AW873" s="134"/>
      <c r="AX873" s="134"/>
      <c r="AY873" s="134"/>
      <c r="AZ873" s="134"/>
      <c r="BA873" s="134"/>
      <c r="BB873" s="134"/>
      <c r="BC873" s="134"/>
      <c r="BD873" s="134"/>
      <c r="BE873" s="134"/>
      <c r="BF873" s="134"/>
      <c r="BG873" s="134"/>
      <c r="BH873" s="134"/>
      <c r="BI873" s="134"/>
      <c r="BJ873" s="134"/>
      <c r="BK873" s="134"/>
      <c r="BL873" s="134"/>
      <c r="BM873" s="134"/>
      <c r="BN873" s="134"/>
      <c r="BO873" s="134"/>
      <c r="BP873" s="134"/>
      <c r="BQ873" s="134"/>
      <c r="BR873" s="134"/>
      <c r="BS873" s="134"/>
      <c r="BT873" s="134"/>
      <c r="BU873" s="134"/>
      <c r="BV873" s="134"/>
      <c r="BW873" s="134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  <c r="CH873" s="43"/>
      <c r="CI873" s="43"/>
      <c r="CJ873" s="43"/>
      <c r="CK873" s="43"/>
      <c r="CL873" s="43"/>
      <c r="CM873" s="43"/>
      <c r="CN873" s="43"/>
      <c r="CO873" s="43"/>
      <c r="CP873" s="43"/>
      <c r="CQ873" s="43"/>
      <c r="CR873" s="43"/>
      <c r="CS873" s="43"/>
      <c r="CT873" s="43"/>
      <c r="CU873" s="43"/>
      <c r="CV873" s="43"/>
      <c r="CW873" s="43"/>
      <c r="CX873" s="43"/>
      <c r="CY873" s="43"/>
      <c r="CZ873" s="43"/>
      <c r="DA873" s="43"/>
      <c r="DB873" s="43"/>
      <c r="DC873" s="43"/>
      <c r="DD873" s="43"/>
      <c r="DE873" s="43"/>
      <c r="DF873" s="43"/>
      <c r="DG873" s="43"/>
      <c r="DH873" s="43"/>
      <c r="DI873" s="43"/>
      <c r="DJ873" s="43"/>
      <c r="DK873" s="43"/>
      <c r="DL873" s="43"/>
      <c r="DM873" s="43"/>
      <c r="DN873" s="43"/>
      <c r="DO873" s="43"/>
      <c r="DP873" s="43"/>
      <c r="DQ873" s="43"/>
      <c r="DR873" s="43"/>
      <c r="DS873" s="43"/>
      <c r="DT873" s="43"/>
      <c r="DU873" s="43"/>
      <c r="DV873" s="43"/>
      <c r="DW873" s="43"/>
      <c r="DX873" s="43"/>
      <c r="DY873" s="43"/>
      <c r="DZ873" s="43"/>
      <c r="EA873" s="43"/>
      <c r="EB873" s="43"/>
      <c r="EC873" s="43"/>
      <c r="ED873" s="43"/>
      <c r="EE873" s="43"/>
      <c r="EF873" s="43"/>
      <c r="EG873" s="43"/>
      <c r="EH873" s="43"/>
      <c r="EI873" s="43"/>
      <c r="EJ873" s="43"/>
      <c r="EK873" s="43"/>
      <c r="EL873" s="43"/>
      <c r="EM873" s="43"/>
      <c r="EN873" s="43"/>
      <c r="EO873" s="43"/>
      <c r="EP873" s="43"/>
      <c r="EQ873" s="43"/>
      <c r="ER873" s="43"/>
      <c r="ES873" s="43"/>
      <c r="ET873" s="43"/>
      <c r="EU873" s="43"/>
      <c r="EV873" s="43"/>
      <c r="EW873" s="43"/>
      <c r="EX873" s="43"/>
      <c r="EY873" s="43"/>
      <c r="EZ873" s="43"/>
      <c r="FA873" s="43"/>
      <c r="FB873" s="43"/>
      <c r="FC873" s="43"/>
    </row>
    <row r="874" spans="1:159" ht="38.25" hidden="1" x14ac:dyDescent="0.2">
      <c r="A874" s="6" t="s">
        <v>103</v>
      </c>
      <c r="B874" s="16" t="s">
        <v>175</v>
      </c>
      <c r="C874" s="6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192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  <c r="AF874" s="134"/>
      <c r="AG874" s="134"/>
      <c r="AH874" s="134"/>
      <c r="AI874" s="134"/>
      <c r="AJ874" s="134"/>
      <c r="AK874" s="134"/>
      <c r="AL874" s="134"/>
      <c r="AM874" s="134"/>
      <c r="AN874" s="134"/>
      <c r="AO874" s="134"/>
      <c r="AP874" s="134"/>
      <c r="AQ874" s="134"/>
      <c r="AR874" s="134"/>
      <c r="AS874" s="134"/>
      <c r="AT874" s="134"/>
      <c r="AU874" s="134"/>
      <c r="AV874" s="134"/>
      <c r="AW874" s="134"/>
      <c r="AX874" s="134"/>
      <c r="AY874" s="134"/>
      <c r="AZ874" s="134"/>
      <c r="BA874" s="134"/>
      <c r="BB874" s="134"/>
      <c r="BC874" s="134"/>
      <c r="BD874" s="134"/>
      <c r="BE874" s="134"/>
      <c r="BF874" s="134"/>
      <c r="BG874" s="134"/>
      <c r="BH874" s="134"/>
      <c r="BI874" s="134"/>
      <c r="BJ874" s="134"/>
      <c r="BK874" s="134"/>
      <c r="BL874" s="134"/>
      <c r="BM874" s="134"/>
      <c r="BN874" s="134"/>
      <c r="BO874" s="134"/>
      <c r="BP874" s="134"/>
      <c r="BQ874" s="134"/>
      <c r="BR874" s="134"/>
      <c r="BS874" s="134"/>
      <c r="BT874" s="134"/>
      <c r="BU874" s="134"/>
      <c r="BV874" s="134"/>
      <c r="BW874" s="134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  <c r="CH874" s="43"/>
      <c r="CI874" s="43"/>
      <c r="CJ874" s="43"/>
      <c r="CK874" s="43"/>
      <c r="CL874" s="43"/>
      <c r="CM874" s="43"/>
      <c r="CN874" s="43"/>
      <c r="CO874" s="43"/>
      <c r="CP874" s="43"/>
      <c r="CQ874" s="43"/>
      <c r="CR874" s="43"/>
      <c r="CS874" s="43"/>
      <c r="CT874" s="43"/>
      <c r="CU874" s="43"/>
      <c r="CV874" s="43"/>
      <c r="CW874" s="43"/>
      <c r="CX874" s="43"/>
      <c r="CY874" s="43"/>
      <c r="CZ874" s="43"/>
      <c r="DA874" s="43"/>
      <c r="DB874" s="43"/>
      <c r="DC874" s="43"/>
      <c r="DD874" s="43"/>
      <c r="DE874" s="43"/>
      <c r="DF874" s="43"/>
      <c r="DG874" s="43"/>
      <c r="DH874" s="43"/>
      <c r="DI874" s="43"/>
      <c r="DJ874" s="43"/>
      <c r="DK874" s="43"/>
      <c r="DL874" s="43"/>
      <c r="DM874" s="43"/>
      <c r="DN874" s="43"/>
      <c r="DO874" s="43"/>
      <c r="DP874" s="43"/>
      <c r="DQ874" s="43"/>
      <c r="DR874" s="43"/>
      <c r="DS874" s="43"/>
      <c r="DT874" s="43"/>
      <c r="DU874" s="43"/>
      <c r="DV874" s="43"/>
      <c r="DW874" s="43"/>
      <c r="DX874" s="43"/>
      <c r="DY874" s="43"/>
      <c r="DZ874" s="43"/>
      <c r="EA874" s="43"/>
      <c r="EB874" s="43"/>
      <c r="EC874" s="43"/>
      <c r="ED874" s="43"/>
      <c r="EE874" s="43"/>
      <c r="EF874" s="43"/>
      <c r="EG874" s="43"/>
      <c r="EH874" s="43"/>
      <c r="EI874" s="43"/>
      <c r="EJ874" s="43"/>
      <c r="EK874" s="43"/>
      <c r="EL874" s="43"/>
      <c r="EM874" s="43"/>
      <c r="EN874" s="43"/>
      <c r="EO874" s="43"/>
      <c r="EP874" s="43"/>
      <c r="EQ874" s="43"/>
      <c r="ER874" s="43"/>
      <c r="ES874" s="43"/>
      <c r="ET874" s="43"/>
      <c r="EU874" s="43"/>
      <c r="EV874" s="43"/>
      <c r="EW874" s="43"/>
      <c r="EX874" s="43"/>
      <c r="EY874" s="43"/>
      <c r="EZ874" s="43"/>
      <c r="FA874" s="43"/>
      <c r="FB874" s="43"/>
      <c r="FC874" s="43"/>
    </row>
    <row r="875" spans="1:159" hidden="1" x14ac:dyDescent="0.2">
      <c r="A875" s="6"/>
      <c r="B875" s="10" t="s">
        <v>91</v>
      </c>
      <c r="C875" s="6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192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  <c r="AF875" s="134"/>
      <c r="AG875" s="134"/>
      <c r="AH875" s="134"/>
      <c r="AI875" s="134"/>
      <c r="AJ875" s="134"/>
      <c r="AK875" s="134"/>
      <c r="AL875" s="134"/>
      <c r="AM875" s="134"/>
      <c r="AN875" s="134"/>
      <c r="AO875" s="134"/>
      <c r="AP875" s="134"/>
      <c r="AQ875" s="134"/>
      <c r="AR875" s="134"/>
      <c r="AS875" s="134"/>
      <c r="AT875" s="134"/>
      <c r="AU875" s="134"/>
      <c r="AV875" s="134"/>
      <c r="AW875" s="134"/>
      <c r="AX875" s="134"/>
      <c r="AY875" s="134"/>
      <c r="AZ875" s="134"/>
      <c r="BA875" s="134"/>
      <c r="BB875" s="134"/>
      <c r="BC875" s="134"/>
      <c r="BD875" s="134"/>
      <c r="BE875" s="134"/>
      <c r="BF875" s="134"/>
      <c r="BG875" s="134"/>
      <c r="BH875" s="134"/>
      <c r="BI875" s="134"/>
      <c r="BJ875" s="134"/>
      <c r="BK875" s="134"/>
      <c r="BL875" s="134"/>
      <c r="BM875" s="134"/>
      <c r="BN875" s="134"/>
      <c r="BO875" s="134"/>
      <c r="BP875" s="134"/>
      <c r="BQ875" s="134"/>
      <c r="BR875" s="134"/>
      <c r="BS875" s="134"/>
      <c r="BT875" s="134"/>
      <c r="BU875" s="134"/>
      <c r="BV875" s="134"/>
      <c r="BW875" s="134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  <c r="CH875" s="43"/>
      <c r="CI875" s="43"/>
      <c r="CJ875" s="43"/>
      <c r="CK875" s="43"/>
      <c r="CL875" s="43"/>
      <c r="CM875" s="43"/>
      <c r="CN875" s="43"/>
      <c r="CO875" s="43"/>
      <c r="CP875" s="43"/>
      <c r="CQ875" s="43"/>
      <c r="CR875" s="43"/>
      <c r="CS875" s="43"/>
      <c r="CT875" s="43"/>
      <c r="CU875" s="43"/>
      <c r="CV875" s="43"/>
      <c r="CW875" s="43"/>
      <c r="CX875" s="43"/>
      <c r="CY875" s="43"/>
      <c r="CZ875" s="43"/>
      <c r="DA875" s="43"/>
      <c r="DB875" s="43"/>
      <c r="DC875" s="43"/>
      <c r="DD875" s="43"/>
      <c r="DE875" s="43"/>
      <c r="DF875" s="43"/>
      <c r="DG875" s="43"/>
      <c r="DH875" s="43"/>
      <c r="DI875" s="43"/>
      <c r="DJ875" s="43"/>
      <c r="DK875" s="43"/>
      <c r="DL875" s="43"/>
      <c r="DM875" s="43"/>
      <c r="DN875" s="43"/>
      <c r="DO875" s="43"/>
      <c r="DP875" s="43"/>
      <c r="DQ875" s="43"/>
      <c r="DR875" s="43"/>
      <c r="DS875" s="43"/>
      <c r="DT875" s="43"/>
      <c r="DU875" s="43"/>
      <c r="DV875" s="43"/>
      <c r="DW875" s="43"/>
      <c r="DX875" s="43"/>
      <c r="DY875" s="43"/>
      <c r="DZ875" s="43"/>
      <c r="EA875" s="43"/>
      <c r="EB875" s="43"/>
      <c r="EC875" s="43"/>
      <c r="ED875" s="43"/>
      <c r="EE875" s="43"/>
      <c r="EF875" s="43"/>
      <c r="EG875" s="43"/>
      <c r="EH875" s="43"/>
      <c r="EI875" s="43"/>
      <c r="EJ875" s="43"/>
      <c r="EK875" s="43"/>
      <c r="EL875" s="43"/>
      <c r="EM875" s="43"/>
      <c r="EN875" s="43"/>
      <c r="EO875" s="43"/>
      <c r="EP875" s="43"/>
      <c r="EQ875" s="43"/>
      <c r="ER875" s="43"/>
      <c r="ES875" s="43"/>
      <c r="ET875" s="43"/>
      <c r="EU875" s="43"/>
      <c r="EV875" s="43"/>
      <c r="EW875" s="43"/>
      <c r="EX875" s="43"/>
      <c r="EY875" s="43"/>
      <c r="EZ875" s="43"/>
      <c r="FA875" s="43"/>
      <c r="FB875" s="43"/>
      <c r="FC875" s="43"/>
    </row>
    <row r="876" spans="1:159" hidden="1" x14ac:dyDescent="0.2">
      <c r="A876" s="6"/>
      <c r="B876" s="17" t="s">
        <v>92</v>
      </c>
      <c r="C876" s="6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192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  <c r="AF876" s="134"/>
      <c r="AG876" s="134"/>
      <c r="AH876" s="134"/>
      <c r="AI876" s="134"/>
      <c r="AJ876" s="134"/>
      <c r="AK876" s="134"/>
      <c r="AL876" s="134"/>
      <c r="AM876" s="134"/>
      <c r="AN876" s="134"/>
      <c r="AO876" s="134"/>
      <c r="AP876" s="134"/>
      <c r="AQ876" s="134"/>
      <c r="AR876" s="134"/>
      <c r="AS876" s="134"/>
      <c r="AT876" s="134"/>
      <c r="AU876" s="134"/>
      <c r="AV876" s="134"/>
      <c r="AW876" s="134"/>
      <c r="AX876" s="134"/>
      <c r="AY876" s="134"/>
      <c r="AZ876" s="134"/>
      <c r="BA876" s="134"/>
      <c r="BB876" s="134"/>
      <c r="BC876" s="134"/>
      <c r="BD876" s="134"/>
      <c r="BE876" s="134"/>
      <c r="BF876" s="134"/>
      <c r="BG876" s="134"/>
      <c r="BH876" s="134"/>
      <c r="BI876" s="134"/>
      <c r="BJ876" s="134"/>
      <c r="BK876" s="134"/>
      <c r="BL876" s="134"/>
      <c r="BM876" s="134"/>
      <c r="BN876" s="134"/>
      <c r="BO876" s="134"/>
      <c r="BP876" s="134"/>
      <c r="BQ876" s="134"/>
      <c r="BR876" s="134"/>
      <c r="BS876" s="134"/>
      <c r="BT876" s="134"/>
      <c r="BU876" s="134"/>
      <c r="BV876" s="134"/>
      <c r="BW876" s="134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  <c r="CH876" s="43"/>
      <c r="CI876" s="43"/>
      <c r="CJ876" s="43"/>
      <c r="CK876" s="43"/>
      <c r="CL876" s="43"/>
      <c r="CM876" s="43"/>
      <c r="CN876" s="43"/>
      <c r="CO876" s="43"/>
      <c r="CP876" s="43"/>
      <c r="CQ876" s="43"/>
      <c r="CR876" s="43"/>
      <c r="CS876" s="43"/>
      <c r="CT876" s="43"/>
      <c r="CU876" s="43"/>
      <c r="CV876" s="43"/>
      <c r="CW876" s="43"/>
      <c r="CX876" s="43"/>
      <c r="CY876" s="43"/>
      <c r="CZ876" s="43"/>
      <c r="DA876" s="43"/>
      <c r="DB876" s="43"/>
      <c r="DC876" s="43"/>
      <c r="DD876" s="43"/>
      <c r="DE876" s="43"/>
      <c r="DF876" s="43"/>
      <c r="DG876" s="43"/>
      <c r="DH876" s="43"/>
      <c r="DI876" s="43"/>
      <c r="DJ876" s="43"/>
      <c r="DK876" s="43"/>
      <c r="DL876" s="43"/>
      <c r="DM876" s="43"/>
      <c r="DN876" s="43"/>
      <c r="DO876" s="43"/>
      <c r="DP876" s="43"/>
      <c r="DQ876" s="43"/>
      <c r="DR876" s="43"/>
      <c r="DS876" s="43"/>
      <c r="DT876" s="43"/>
      <c r="DU876" s="43"/>
      <c r="DV876" s="43"/>
      <c r="DW876" s="43"/>
      <c r="DX876" s="43"/>
      <c r="DY876" s="43"/>
      <c r="DZ876" s="43"/>
      <c r="EA876" s="43"/>
      <c r="EB876" s="43"/>
      <c r="EC876" s="43"/>
      <c r="ED876" s="43"/>
      <c r="EE876" s="43"/>
      <c r="EF876" s="43"/>
      <c r="EG876" s="43"/>
      <c r="EH876" s="43"/>
      <c r="EI876" s="43"/>
      <c r="EJ876" s="43"/>
      <c r="EK876" s="43"/>
      <c r="EL876" s="43"/>
      <c r="EM876" s="43"/>
      <c r="EN876" s="43"/>
      <c r="EO876" s="43"/>
      <c r="EP876" s="43"/>
      <c r="EQ876" s="43"/>
      <c r="ER876" s="43"/>
      <c r="ES876" s="43"/>
      <c r="ET876" s="43"/>
      <c r="EU876" s="43"/>
      <c r="EV876" s="43"/>
      <c r="EW876" s="43"/>
      <c r="EX876" s="43"/>
      <c r="EY876" s="43"/>
      <c r="EZ876" s="43"/>
      <c r="FA876" s="43"/>
      <c r="FB876" s="43"/>
      <c r="FC876" s="43"/>
    </row>
    <row r="877" spans="1:159" hidden="1" x14ac:dyDescent="0.2">
      <c r="A877" s="6"/>
      <c r="B877" s="10" t="s">
        <v>156</v>
      </c>
      <c r="C877" s="6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192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  <c r="AF877" s="134"/>
      <c r="AG877" s="134"/>
      <c r="AH877" s="134"/>
      <c r="AI877" s="134"/>
      <c r="AJ877" s="134"/>
      <c r="AK877" s="134"/>
      <c r="AL877" s="134"/>
      <c r="AM877" s="134"/>
      <c r="AN877" s="134"/>
      <c r="AO877" s="134"/>
      <c r="AP877" s="134"/>
      <c r="AQ877" s="134"/>
      <c r="AR877" s="134"/>
      <c r="AS877" s="134"/>
      <c r="AT877" s="134"/>
      <c r="AU877" s="134"/>
      <c r="AV877" s="134"/>
      <c r="AW877" s="134"/>
      <c r="AX877" s="134"/>
      <c r="AY877" s="134"/>
      <c r="AZ877" s="134"/>
      <c r="BA877" s="134"/>
      <c r="BB877" s="134"/>
      <c r="BC877" s="134"/>
      <c r="BD877" s="134"/>
      <c r="BE877" s="134"/>
      <c r="BF877" s="134"/>
      <c r="BG877" s="134"/>
      <c r="BH877" s="134"/>
      <c r="BI877" s="134"/>
      <c r="BJ877" s="134"/>
      <c r="BK877" s="134"/>
      <c r="BL877" s="134"/>
      <c r="BM877" s="134"/>
      <c r="BN877" s="134"/>
      <c r="BO877" s="134"/>
      <c r="BP877" s="134"/>
      <c r="BQ877" s="134"/>
      <c r="BR877" s="134"/>
      <c r="BS877" s="134"/>
      <c r="BT877" s="134"/>
      <c r="BU877" s="134"/>
      <c r="BV877" s="134"/>
      <c r="BW877" s="134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  <c r="CH877" s="43"/>
      <c r="CI877" s="43"/>
      <c r="CJ877" s="43"/>
      <c r="CK877" s="43"/>
      <c r="CL877" s="43"/>
      <c r="CM877" s="43"/>
      <c r="CN877" s="43"/>
      <c r="CO877" s="43"/>
      <c r="CP877" s="43"/>
      <c r="CQ877" s="43"/>
      <c r="CR877" s="43"/>
      <c r="CS877" s="43"/>
      <c r="CT877" s="43"/>
      <c r="CU877" s="43"/>
      <c r="CV877" s="43"/>
      <c r="CW877" s="43"/>
      <c r="CX877" s="43"/>
      <c r="CY877" s="43"/>
      <c r="CZ877" s="43"/>
      <c r="DA877" s="43"/>
      <c r="DB877" s="43"/>
      <c r="DC877" s="43"/>
      <c r="DD877" s="43"/>
      <c r="DE877" s="43"/>
      <c r="DF877" s="43"/>
      <c r="DG877" s="43"/>
      <c r="DH877" s="43"/>
      <c r="DI877" s="43"/>
      <c r="DJ877" s="43"/>
      <c r="DK877" s="43"/>
      <c r="DL877" s="43"/>
      <c r="DM877" s="43"/>
      <c r="DN877" s="43"/>
      <c r="DO877" s="43"/>
      <c r="DP877" s="43"/>
      <c r="DQ877" s="43"/>
      <c r="DR877" s="43"/>
      <c r="DS877" s="43"/>
      <c r="DT877" s="43"/>
      <c r="DU877" s="43"/>
      <c r="DV877" s="43"/>
      <c r="DW877" s="43"/>
      <c r="DX877" s="43"/>
      <c r="DY877" s="43"/>
      <c r="DZ877" s="43"/>
      <c r="EA877" s="43"/>
      <c r="EB877" s="43"/>
      <c r="EC877" s="43"/>
      <c r="ED877" s="43"/>
      <c r="EE877" s="43"/>
      <c r="EF877" s="43"/>
      <c r="EG877" s="43"/>
      <c r="EH877" s="43"/>
      <c r="EI877" s="43"/>
      <c r="EJ877" s="43"/>
      <c r="EK877" s="43"/>
      <c r="EL877" s="43"/>
      <c r="EM877" s="43"/>
      <c r="EN877" s="43"/>
      <c r="EO877" s="43"/>
      <c r="EP877" s="43"/>
      <c r="EQ877" s="43"/>
      <c r="ER877" s="43"/>
      <c r="ES877" s="43"/>
      <c r="ET877" s="43"/>
      <c r="EU877" s="43"/>
      <c r="EV877" s="43"/>
      <c r="EW877" s="43"/>
      <c r="EX877" s="43"/>
      <c r="EY877" s="43"/>
      <c r="EZ877" s="43"/>
      <c r="FA877" s="43"/>
      <c r="FB877" s="43"/>
      <c r="FC877" s="43"/>
    </row>
    <row r="878" spans="1:159" hidden="1" x14ac:dyDescent="0.2">
      <c r="A878" s="6"/>
      <c r="B878" s="17" t="s">
        <v>157</v>
      </c>
      <c r="C878" s="6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192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  <c r="AF878" s="134"/>
      <c r="AG878" s="134"/>
      <c r="AH878" s="134"/>
      <c r="AI878" s="134"/>
      <c r="AJ878" s="134"/>
      <c r="AK878" s="134"/>
      <c r="AL878" s="134"/>
      <c r="AM878" s="134"/>
      <c r="AN878" s="134"/>
      <c r="AO878" s="134"/>
      <c r="AP878" s="134"/>
      <c r="AQ878" s="134"/>
      <c r="AR878" s="134"/>
      <c r="AS878" s="134"/>
      <c r="AT878" s="134"/>
      <c r="AU878" s="134"/>
      <c r="AV878" s="134"/>
      <c r="AW878" s="134"/>
      <c r="AX878" s="134"/>
      <c r="AY878" s="134"/>
      <c r="AZ878" s="134"/>
      <c r="BA878" s="134"/>
      <c r="BB878" s="134"/>
      <c r="BC878" s="134"/>
      <c r="BD878" s="134"/>
      <c r="BE878" s="134"/>
      <c r="BF878" s="134"/>
      <c r="BG878" s="134"/>
      <c r="BH878" s="134"/>
      <c r="BI878" s="134"/>
      <c r="BJ878" s="134"/>
      <c r="BK878" s="134"/>
      <c r="BL878" s="134"/>
      <c r="BM878" s="134"/>
      <c r="BN878" s="134"/>
      <c r="BO878" s="134"/>
      <c r="BP878" s="134"/>
      <c r="BQ878" s="134"/>
      <c r="BR878" s="134"/>
      <c r="BS878" s="134"/>
      <c r="BT878" s="134"/>
      <c r="BU878" s="134"/>
      <c r="BV878" s="134"/>
      <c r="BW878" s="134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  <c r="CH878" s="43"/>
      <c r="CI878" s="43"/>
      <c r="CJ878" s="43"/>
      <c r="CK878" s="43"/>
      <c r="CL878" s="43"/>
      <c r="CM878" s="43"/>
      <c r="CN878" s="43"/>
      <c r="CO878" s="43"/>
      <c r="CP878" s="43"/>
      <c r="CQ878" s="43"/>
      <c r="CR878" s="43"/>
      <c r="CS878" s="43"/>
      <c r="CT878" s="43"/>
      <c r="CU878" s="43"/>
      <c r="CV878" s="43"/>
      <c r="CW878" s="43"/>
      <c r="CX878" s="43"/>
      <c r="CY878" s="43"/>
      <c r="CZ878" s="43"/>
      <c r="DA878" s="43"/>
      <c r="DB878" s="43"/>
      <c r="DC878" s="43"/>
      <c r="DD878" s="43"/>
      <c r="DE878" s="43"/>
      <c r="DF878" s="43"/>
      <c r="DG878" s="43"/>
      <c r="DH878" s="43"/>
      <c r="DI878" s="43"/>
      <c r="DJ878" s="43"/>
      <c r="DK878" s="43"/>
      <c r="DL878" s="43"/>
      <c r="DM878" s="43"/>
      <c r="DN878" s="43"/>
      <c r="DO878" s="43"/>
      <c r="DP878" s="43"/>
      <c r="DQ878" s="43"/>
      <c r="DR878" s="43"/>
      <c r="DS878" s="43"/>
      <c r="DT878" s="43"/>
      <c r="DU878" s="43"/>
      <c r="DV878" s="43"/>
      <c r="DW878" s="43"/>
      <c r="DX878" s="43"/>
      <c r="DY878" s="43"/>
      <c r="DZ878" s="43"/>
      <c r="EA878" s="43"/>
      <c r="EB878" s="43"/>
      <c r="EC878" s="43"/>
      <c r="ED878" s="43"/>
      <c r="EE878" s="43"/>
      <c r="EF878" s="43"/>
      <c r="EG878" s="43"/>
      <c r="EH878" s="43"/>
      <c r="EI878" s="43"/>
      <c r="EJ878" s="43"/>
      <c r="EK878" s="43"/>
      <c r="EL878" s="43"/>
      <c r="EM878" s="43"/>
      <c r="EN878" s="43"/>
      <c r="EO878" s="43"/>
      <c r="EP878" s="43"/>
      <c r="EQ878" s="43"/>
      <c r="ER878" s="43"/>
      <c r="ES878" s="43"/>
      <c r="ET878" s="43"/>
      <c r="EU878" s="43"/>
      <c r="EV878" s="43"/>
      <c r="EW878" s="43"/>
      <c r="EX878" s="43"/>
      <c r="EY878" s="43"/>
      <c r="EZ878" s="43"/>
      <c r="FA878" s="43"/>
      <c r="FB878" s="43"/>
      <c r="FC878" s="43"/>
    </row>
    <row r="879" spans="1:159" ht="38.25" hidden="1" x14ac:dyDescent="0.2">
      <c r="A879" s="21" t="s">
        <v>104</v>
      </c>
      <c r="B879" s="22" t="s">
        <v>168</v>
      </c>
      <c r="C879" s="21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193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  <c r="AF879" s="134"/>
      <c r="AG879" s="134"/>
      <c r="AH879" s="134"/>
      <c r="AI879" s="134"/>
      <c r="AJ879" s="134"/>
      <c r="AK879" s="134"/>
      <c r="AL879" s="134"/>
      <c r="AM879" s="134"/>
      <c r="AN879" s="134"/>
      <c r="AO879" s="134"/>
      <c r="AP879" s="134"/>
      <c r="AQ879" s="134"/>
      <c r="AR879" s="134"/>
      <c r="AS879" s="134"/>
      <c r="AT879" s="134"/>
      <c r="AU879" s="134"/>
      <c r="AV879" s="134"/>
      <c r="AW879" s="134"/>
      <c r="AX879" s="134"/>
      <c r="AY879" s="134"/>
      <c r="AZ879" s="134"/>
      <c r="BA879" s="134"/>
      <c r="BB879" s="134"/>
      <c r="BC879" s="134"/>
      <c r="BD879" s="134"/>
      <c r="BE879" s="134"/>
      <c r="BF879" s="134"/>
      <c r="BG879" s="134"/>
      <c r="BH879" s="134"/>
      <c r="BI879" s="134"/>
      <c r="BJ879" s="134"/>
      <c r="BK879" s="134"/>
      <c r="BL879" s="134"/>
      <c r="BM879" s="134"/>
      <c r="BN879" s="134"/>
      <c r="BO879" s="134"/>
      <c r="BP879" s="134"/>
      <c r="BQ879" s="134"/>
      <c r="BR879" s="134"/>
      <c r="BS879" s="134"/>
      <c r="BT879" s="134"/>
      <c r="BU879" s="134"/>
      <c r="BV879" s="134"/>
      <c r="BW879" s="134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  <c r="CH879" s="43"/>
      <c r="CI879" s="43"/>
      <c r="CJ879" s="43"/>
      <c r="CK879" s="43"/>
      <c r="CL879" s="43"/>
      <c r="CM879" s="43"/>
      <c r="CN879" s="43"/>
      <c r="CO879" s="43"/>
      <c r="CP879" s="43"/>
      <c r="CQ879" s="43"/>
      <c r="CR879" s="43"/>
      <c r="CS879" s="43"/>
      <c r="CT879" s="43"/>
      <c r="CU879" s="43"/>
      <c r="CV879" s="43"/>
      <c r="CW879" s="43"/>
      <c r="CX879" s="43"/>
      <c r="CY879" s="43"/>
      <c r="CZ879" s="43"/>
      <c r="DA879" s="43"/>
      <c r="DB879" s="43"/>
      <c r="DC879" s="43"/>
      <c r="DD879" s="43"/>
      <c r="DE879" s="43"/>
      <c r="DF879" s="43"/>
      <c r="DG879" s="43"/>
      <c r="DH879" s="43"/>
      <c r="DI879" s="43"/>
      <c r="DJ879" s="43"/>
      <c r="DK879" s="43"/>
      <c r="DL879" s="43"/>
      <c r="DM879" s="43"/>
      <c r="DN879" s="43"/>
      <c r="DO879" s="43"/>
      <c r="DP879" s="43"/>
      <c r="DQ879" s="43"/>
      <c r="DR879" s="43"/>
      <c r="DS879" s="43"/>
      <c r="DT879" s="43"/>
      <c r="DU879" s="43"/>
      <c r="DV879" s="43"/>
      <c r="DW879" s="43"/>
      <c r="DX879" s="43"/>
      <c r="DY879" s="43"/>
      <c r="DZ879" s="43"/>
      <c r="EA879" s="43"/>
      <c r="EB879" s="43"/>
      <c r="EC879" s="43"/>
      <c r="ED879" s="43"/>
      <c r="EE879" s="43"/>
      <c r="EF879" s="43"/>
      <c r="EG879" s="43"/>
      <c r="EH879" s="43"/>
      <c r="EI879" s="43"/>
      <c r="EJ879" s="43"/>
      <c r="EK879" s="43"/>
      <c r="EL879" s="43"/>
      <c r="EM879" s="43"/>
      <c r="EN879" s="43"/>
      <c r="EO879" s="43"/>
      <c r="EP879" s="43"/>
      <c r="EQ879" s="43"/>
      <c r="ER879" s="43"/>
      <c r="ES879" s="43"/>
      <c r="ET879" s="43"/>
      <c r="EU879" s="43"/>
      <c r="EV879" s="43"/>
      <c r="EW879" s="43"/>
      <c r="EX879" s="43"/>
      <c r="EY879" s="43"/>
      <c r="EZ879" s="43"/>
      <c r="FA879" s="43"/>
      <c r="FB879" s="43"/>
      <c r="FC879" s="43"/>
    </row>
    <row r="880" spans="1:159" s="138" customFormat="1" x14ac:dyDescent="0.2">
      <c r="A880" s="25"/>
      <c r="B880" s="18" t="s">
        <v>218</v>
      </c>
      <c r="C880" s="88">
        <f>C845+C855</f>
        <v>93</v>
      </c>
      <c r="D880" s="48"/>
      <c r="E880" s="48">
        <f>E845+E855</f>
        <v>4965302</v>
      </c>
      <c r="F880" s="48"/>
      <c r="G880" s="48">
        <f>G845+G855</f>
        <v>519915</v>
      </c>
      <c r="H880" s="48"/>
      <c r="I880" s="48"/>
      <c r="J880" s="48"/>
      <c r="K880" s="48">
        <f>K845+K855</f>
        <v>5178983.0017200001</v>
      </c>
      <c r="L880" s="48"/>
      <c r="M880" s="48">
        <f>M845+M855</f>
        <v>10664200.00172</v>
      </c>
      <c r="N880" s="48">
        <v>238000</v>
      </c>
      <c r="O880" s="146">
        <f>M880+N880</f>
        <v>10902200.00172</v>
      </c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  <c r="AF880" s="134"/>
      <c r="AG880" s="134"/>
      <c r="AH880" s="134"/>
      <c r="AI880" s="134"/>
      <c r="AJ880" s="134"/>
      <c r="AK880" s="134"/>
      <c r="AL880" s="134"/>
      <c r="AM880" s="134"/>
      <c r="AN880" s="134"/>
      <c r="AO880" s="134"/>
      <c r="AP880" s="134"/>
      <c r="AQ880" s="134"/>
      <c r="AR880" s="134"/>
      <c r="AS880" s="134"/>
      <c r="AT880" s="134"/>
      <c r="AU880" s="134"/>
      <c r="AV880" s="134"/>
      <c r="AW880" s="134"/>
      <c r="AX880" s="134"/>
      <c r="AY880" s="134"/>
      <c r="AZ880" s="134"/>
      <c r="BA880" s="134"/>
      <c r="BB880" s="134"/>
      <c r="BC880" s="134"/>
      <c r="BD880" s="134"/>
      <c r="BE880" s="134"/>
      <c r="BF880" s="134"/>
      <c r="BG880" s="134"/>
      <c r="BH880" s="134"/>
      <c r="BI880" s="134"/>
      <c r="BJ880" s="134"/>
      <c r="BK880" s="134"/>
      <c r="BL880" s="134"/>
      <c r="BM880" s="134"/>
      <c r="BN880" s="134"/>
      <c r="BO880" s="134"/>
      <c r="BP880" s="134"/>
      <c r="BQ880" s="134"/>
      <c r="BR880" s="134"/>
      <c r="BS880" s="134"/>
      <c r="BT880" s="134"/>
      <c r="BU880" s="134"/>
      <c r="BV880" s="134"/>
      <c r="BW880" s="134"/>
      <c r="BX880" s="134"/>
      <c r="BY880" s="134"/>
      <c r="BZ880" s="134"/>
      <c r="CA880" s="134"/>
      <c r="CB880" s="134"/>
      <c r="CC880" s="134"/>
      <c r="CD880" s="134"/>
      <c r="CE880" s="134"/>
      <c r="CF880" s="134"/>
      <c r="CG880" s="134"/>
      <c r="CH880" s="134"/>
      <c r="CI880" s="134"/>
      <c r="CJ880" s="134"/>
      <c r="CK880" s="134"/>
      <c r="CL880" s="134"/>
      <c r="CM880" s="134"/>
      <c r="CN880" s="134"/>
      <c r="CO880" s="134"/>
      <c r="CP880" s="134"/>
      <c r="CQ880" s="134"/>
      <c r="CR880" s="134"/>
      <c r="CS880" s="134"/>
      <c r="CT880" s="134"/>
      <c r="CU880" s="134"/>
      <c r="CV880" s="134"/>
      <c r="CW880" s="134"/>
      <c r="CX880" s="134"/>
      <c r="CY880" s="134"/>
      <c r="CZ880" s="134"/>
      <c r="DA880" s="134"/>
      <c r="DB880" s="134"/>
      <c r="DC880" s="134"/>
      <c r="DD880" s="134"/>
      <c r="DE880" s="134"/>
      <c r="DF880" s="134"/>
      <c r="DG880" s="134"/>
      <c r="DH880" s="134"/>
      <c r="DI880" s="134"/>
      <c r="DJ880" s="134"/>
      <c r="DK880" s="134"/>
      <c r="DL880" s="134"/>
      <c r="DM880" s="134"/>
      <c r="DN880" s="134"/>
      <c r="DO880" s="134"/>
      <c r="DP880" s="134"/>
      <c r="DQ880" s="134"/>
      <c r="DR880" s="134"/>
      <c r="DS880" s="134"/>
      <c r="DT880" s="134"/>
      <c r="DU880" s="134"/>
      <c r="DV880" s="134"/>
      <c r="DW880" s="134"/>
      <c r="DX880" s="134"/>
      <c r="DY880" s="134"/>
      <c r="DZ880" s="134"/>
      <c r="EA880" s="134"/>
      <c r="EB880" s="134"/>
      <c r="EC880" s="134"/>
      <c r="ED880" s="134"/>
      <c r="EE880" s="134"/>
      <c r="EF880" s="134"/>
      <c r="EG880" s="134"/>
      <c r="EH880" s="134"/>
      <c r="EI880" s="134"/>
      <c r="EJ880" s="134"/>
      <c r="EK880" s="134"/>
      <c r="EL880" s="134"/>
      <c r="EM880" s="134"/>
      <c r="EN880" s="134"/>
      <c r="EO880" s="134"/>
      <c r="EP880" s="134"/>
      <c r="EQ880" s="134"/>
      <c r="ER880" s="134"/>
      <c r="ES880" s="134"/>
      <c r="ET880" s="134"/>
      <c r="EU880" s="134"/>
      <c r="EV880" s="134"/>
      <c r="EW880" s="134"/>
      <c r="EX880" s="134"/>
      <c r="EY880" s="134"/>
      <c r="EZ880" s="134"/>
      <c r="FA880" s="134"/>
      <c r="FB880" s="134"/>
      <c r="FC880" s="134"/>
    </row>
    <row r="881" spans="1:75" x14ac:dyDescent="0.2">
      <c r="A881" s="136"/>
      <c r="B881" s="136" t="s">
        <v>216</v>
      </c>
      <c r="C881" s="137">
        <f>C487+C524+C562+C600+C637+C681+C718+C756+C795+C832+C880</f>
        <v>2171</v>
      </c>
      <c r="D881" s="137"/>
      <c r="E881" s="137">
        <f>E487+E524+E562+E600+E637+E681+E718+E756+E795+E832+E880</f>
        <v>112170150</v>
      </c>
      <c r="F881" s="137"/>
      <c r="G881" s="137">
        <f>G487+G524+G562+G600+G637+G681+G718+G756+G795+G832+G880</f>
        <v>11750260</v>
      </c>
      <c r="H881" s="137"/>
      <c r="I881" s="137"/>
      <c r="J881" s="137"/>
      <c r="K881" s="137">
        <f>K487+K524+K562+K600+K637+K681+K718+K756+K795+K832+K880</f>
        <v>64524080.125420004</v>
      </c>
      <c r="L881" s="137"/>
      <c r="M881" s="137">
        <f>M487+M524+M562+M600+M637+M681+M718+M756+M795+M832+M880</f>
        <v>188511160.01050004</v>
      </c>
      <c r="N881" s="137">
        <f>N487+N524+N562+N600+N637+N681+N718+N756+N795+N832+N880</f>
        <v>2923000</v>
      </c>
      <c r="O881" s="196">
        <f>O487+O524+O562+O600+O637+O681+O718+O756+O795+O832+O880</f>
        <v>191434160.01050004</v>
      </c>
    </row>
    <row r="882" spans="1:75" x14ac:dyDescent="0.2">
      <c r="A882" s="6"/>
      <c r="B882" s="6" t="s">
        <v>217</v>
      </c>
      <c r="C882" s="31">
        <f>C410+C881</f>
        <v>10611</v>
      </c>
      <c r="D882" s="31"/>
      <c r="E882" s="31">
        <f>E410+E881</f>
        <v>371717239</v>
      </c>
      <c r="F882" s="31"/>
      <c r="G882" s="31">
        <f>G410+G881</f>
        <v>38927246</v>
      </c>
      <c r="H882" s="31"/>
      <c r="I882" s="31"/>
      <c r="J882" s="31"/>
      <c r="K882" s="31">
        <f>K410+K881</f>
        <v>157339680.12247598</v>
      </c>
      <c r="L882" s="31"/>
      <c r="M882" s="31">
        <f>M410+M881</f>
        <v>568050835.00755608</v>
      </c>
      <c r="N882" s="31">
        <f>N410+N881</f>
        <v>7671000</v>
      </c>
      <c r="O882" s="192">
        <f>O410+O881</f>
        <v>575721835.00755608</v>
      </c>
    </row>
    <row r="883" spans="1:75" s="11" customFormat="1" hidden="1" x14ac:dyDescent="0.2">
      <c r="A883" s="4" t="s">
        <v>220</v>
      </c>
      <c r="B883" s="5" t="s">
        <v>171</v>
      </c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197"/>
      <c r="P883" s="201"/>
      <c r="Q883" s="201"/>
      <c r="R883" s="201"/>
      <c r="S883" s="201"/>
      <c r="T883" s="201"/>
      <c r="U883" s="201"/>
      <c r="V883" s="201"/>
      <c r="W883" s="201"/>
      <c r="X883" s="201"/>
      <c r="Y883" s="201"/>
      <c r="Z883" s="201"/>
      <c r="AA883" s="201"/>
      <c r="AB883" s="201"/>
      <c r="AC883" s="201"/>
      <c r="AD883" s="201"/>
      <c r="AE883" s="201"/>
      <c r="AF883" s="201"/>
      <c r="AG883" s="201"/>
      <c r="AH883" s="201"/>
      <c r="AI883" s="201"/>
      <c r="AJ883" s="201"/>
      <c r="AK883" s="201"/>
      <c r="AL883" s="201"/>
      <c r="AM883" s="201"/>
      <c r="AN883" s="201"/>
      <c r="AO883" s="201"/>
      <c r="AP883" s="201"/>
      <c r="AQ883" s="201"/>
      <c r="AR883" s="201"/>
      <c r="AS883" s="201"/>
      <c r="AT883" s="201"/>
      <c r="AU883" s="201"/>
      <c r="AV883" s="201"/>
      <c r="AW883" s="201"/>
      <c r="AX883" s="201"/>
      <c r="AY883" s="201"/>
      <c r="AZ883" s="201"/>
      <c r="BA883" s="201"/>
      <c r="BB883" s="201"/>
      <c r="BC883" s="201"/>
      <c r="BD883" s="201"/>
      <c r="BE883" s="201"/>
      <c r="BF883" s="201"/>
      <c r="BG883" s="201"/>
      <c r="BH883" s="201"/>
      <c r="BI883" s="201"/>
      <c r="BJ883" s="201"/>
      <c r="BK883" s="201"/>
      <c r="BL883" s="201"/>
      <c r="BM883" s="201"/>
      <c r="BN883" s="201"/>
      <c r="BO883" s="201"/>
      <c r="BP883" s="201"/>
      <c r="BQ883" s="201"/>
      <c r="BR883" s="201"/>
      <c r="BS883" s="201"/>
      <c r="BT883" s="201"/>
      <c r="BU883" s="201"/>
      <c r="BV883" s="201"/>
      <c r="BW883" s="201"/>
    </row>
    <row r="884" spans="1:75" ht="25.5" hidden="1" x14ac:dyDescent="0.2">
      <c r="A884" s="6" t="s">
        <v>96</v>
      </c>
      <c r="B884" s="16" t="s">
        <v>154</v>
      </c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191"/>
    </row>
    <row r="885" spans="1:75" hidden="1" x14ac:dyDescent="0.2">
      <c r="A885" s="6"/>
      <c r="B885" s="10" t="s">
        <v>91</v>
      </c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191"/>
    </row>
    <row r="886" spans="1:75" hidden="1" x14ac:dyDescent="0.2">
      <c r="A886" s="6"/>
      <c r="B886" s="17" t="s">
        <v>92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191"/>
    </row>
    <row r="887" spans="1:75" ht="38.25" hidden="1" x14ac:dyDescent="0.2">
      <c r="A887" s="6" t="s">
        <v>97</v>
      </c>
      <c r="B887" s="16" t="s">
        <v>173</v>
      </c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191"/>
    </row>
    <row r="888" spans="1:75" hidden="1" x14ac:dyDescent="0.2">
      <c r="A888" s="6"/>
      <c r="B888" s="10" t="s">
        <v>91</v>
      </c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191"/>
    </row>
    <row r="889" spans="1:75" hidden="1" x14ac:dyDescent="0.2">
      <c r="A889" s="6"/>
      <c r="B889" s="17" t="s">
        <v>92</v>
      </c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191"/>
    </row>
    <row r="890" spans="1:75" hidden="1" x14ac:dyDescent="0.2">
      <c r="A890" s="6"/>
      <c r="B890" s="10" t="s">
        <v>156</v>
      </c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191"/>
    </row>
    <row r="891" spans="1:75" hidden="1" x14ac:dyDescent="0.2">
      <c r="A891" s="6"/>
      <c r="B891" s="17" t="s">
        <v>157</v>
      </c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191"/>
    </row>
    <row r="892" spans="1:75" ht="38.25" hidden="1" x14ac:dyDescent="0.2">
      <c r="A892" s="6" t="s">
        <v>98</v>
      </c>
      <c r="B892" s="16" t="s">
        <v>158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191"/>
    </row>
    <row r="893" spans="1:75" s="11" customFormat="1" hidden="1" x14ac:dyDescent="0.2">
      <c r="A893" s="4">
        <v>5</v>
      </c>
      <c r="B893" s="5" t="s">
        <v>174</v>
      </c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197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1"/>
      <c r="AT893" s="201"/>
      <c r="AU893" s="201"/>
      <c r="AV893" s="201"/>
      <c r="AW893" s="201"/>
      <c r="AX893" s="201"/>
      <c r="AY893" s="201"/>
      <c r="AZ893" s="201"/>
      <c r="BA893" s="201"/>
      <c r="BB893" s="201"/>
      <c r="BC893" s="201"/>
      <c r="BD893" s="201"/>
      <c r="BE893" s="201"/>
      <c r="BF893" s="201"/>
      <c r="BG893" s="201"/>
      <c r="BH893" s="201"/>
      <c r="BI893" s="201"/>
      <c r="BJ893" s="201"/>
      <c r="BK893" s="201"/>
      <c r="BL893" s="201"/>
      <c r="BM893" s="201"/>
      <c r="BN893" s="201"/>
      <c r="BO893" s="201"/>
      <c r="BP893" s="201"/>
      <c r="BQ893" s="201"/>
      <c r="BR893" s="201"/>
      <c r="BS893" s="201"/>
      <c r="BT893" s="201"/>
      <c r="BU893" s="201"/>
      <c r="BV893" s="201"/>
      <c r="BW893" s="201"/>
    </row>
    <row r="894" spans="1:75" ht="25.5" hidden="1" x14ac:dyDescent="0.2">
      <c r="A894" s="6" t="s">
        <v>99</v>
      </c>
      <c r="B894" s="14" t="s">
        <v>160</v>
      </c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191"/>
    </row>
    <row r="895" spans="1:75" hidden="1" x14ac:dyDescent="0.2">
      <c r="A895" s="6"/>
      <c r="B895" s="103" t="s">
        <v>91</v>
      </c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191"/>
    </row>
    <row r="896" spans="1:75" hidden="1" x14ac:dyDescent="0.2">
      <c r="A896" s="6"/>
      <c r="B896" s="7" t="s">
        <v>92</v>
      </c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191"/>
    </row>
    <row r="897" spans="1:75" hidden="1" x14ac:dyDescent="0.2">
      <c r="A897" s="6"/>
      <c r="B897" s="103" t="s">
        <v>156</v>
      </c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191"/>
    </row>
    <row r="898" spans="1:75" hidden="1" x14ac:dyDescent="0.2">
      <c r="A898" s="6"/>
      <c r="B898" s="7" t="s">
        <v>157</v>
      </c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191"/>
    </row>
    <row r="899" spans="1:75" ht="38.25" hidden="1" x14ac:dyDescent="0.2">
      <c r="A899" s="6" t="s">
        <v>100</v>
      </c>
      <c r="B899" s="16" t="s">
        <v>175</v>
      </c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191"/>
    </row>
    <row r="900" spans="1:75" hidden="1" x14ac:dyDescent="0.2">
      <c r="A900" s="6"/>
      <c r="B900" s="10" t="s">
        <v>91</v>
      </c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191"/>
    </row>
    <row r="901" spans="1:75" hidden="1" x14ac:dyDescent="0.2">
      <c r="A901" s="6"/>
      <c r="B901" s="17" t="s">
        <v>92</v>
      </c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191"/>
    </row>
    <row r="902" spans="1:75" hidden="1" x14ac:dyDescent="0.2">
      <c r="A902" s="6"/>
      <c r="B902" s="10" t="s">
        <v>156</v>
      </c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191"/>
    </row>
    <row r="903" spans="1:75" hidden="1" x14ac:dyDescent="0.2">
      <c r="A903" s="6"/>
      <c r="B903" s="17" t="s">
        <v>157</v>
      </c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191"/>
    </row>
    <row r="904" spans="1:75" ht="38.25" hidden="1" x14ac:dyDescent="0.2">
      <c r="A904" s="6" t="s">
        <v>101</v>
      </c>
      <c r="B904" s="103" t="s">
        <v>162</v>
      </c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191"/>
    </row>
    <row r="905" spans="1:75" s="11" customFormat="1" hidden="1" x14ac:dyDescent="0.2">
      <c r="A905" s="4">
        <v>6</v>
      </c>
      <c r="B905" s="5" t="s">
        <v>170</v>
      </c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197"/>
      <c r="P905" s="201"/>
      <c r="Q905" s="201"/>
      <c r="R905" s="201"/>
      <c r="S905" s="201"/>
      <c r="T905" s="201"/>
      <c r="U905" s="201"/>
      <c r="V905" s="201"/>
      <c r="W905" s="201"/>
      <c r="X905" s="201"/>
      <c r="Y905" s="201"/>
      <c r="Z905" s="201"/>
      <c r="AA905" s="201"/>
      <c r="AB905" s="201"/>
      <c r="AC905" s="201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1"/>
      <c r="AO905" s="201"/>
      <c r="AP905" s="201"/>
      <c r="AQ905" s="201"/>
      <c r="AR905" s="201"/>
      <c r="AS905" s="201"/>
      <c r="AT905" s="201"/>
      <c r="AU905" s="201"/>
      <c r="AV905" s="201"/>
      <c r="AW905" s="201"/>
      <c r="AX905" s="201"/>
      <c r="AY905" s="201"/>
      <c r="AZ905" s="201"/>
      <c r="BA905" s="201"/>
      <c r="BB905" s="201"/>
      <c r="BC905" s="201"/>
      <c r="BD905" s="201"/>
      <c r="BE905" s="201"/>
      <c r="BF905" s="201"/>
      <c r="BG905" s="201"/>
      <c r="BH905" s="201"/>
      <c r="BI905" s="201"/>
      <c r="BJ905" s="201"/>
      <c r="BK905" s="201"/>
      <c r="BL905" s="201"/>
      <c r="BM905" s="201"/>
      <c r="BN905" s="201"/>
      <c r="BO905" s="201"/>
      <c r="BP905" s="201"/>
      <c r="BQ905" s="201"/>
      <c r="BR905" s="201"/>
      <c r="BS905" s="201"/>
      <c r="BT905" s="201"/>
      <c r="BU905" s="201"/>
      <c r="BV905" s="201"/>
      <c r="BW905" s="201"/>
    </row>
    <row r="906" spans="1:75" ht="25.5" hidden="1" x14ac:dyDescent="0.2">
      <c r="A906" s="6" t="s">
        <v>102</v>
      </c>
      <c r="B906" s="14" t="s">
        <v>166</v>
      </c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191"/>
    </row>
    <row r="907" spans="1:75" hidden="1" x14ac:dyDescent="0.2">
      <c r="A907" s="6"/>
      <c r="B907" s="103" t="s">
        <v>91</v>
      </c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191"/>
    </row>
    <row r="908" spans="1:75" hidden="1" x14ac:dyDescent="0.2">
      <c r="A908" s="6"/>
      <c r="B908" s="7" t="s">
        <v>92</v>
      </c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191"/>
    </row>
    <row r="909" spans="1:75" hidden="1" x14ac:dyDescent="0.2">
      <c r="A909" s="6"/>
      <c r="B909" s="103" t="s">
        <v>156</v>
      </c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191"/>
    </row>
    <row r="910" spans="1:75" hidden="1" x14ac:dyDescent="0.2">
      <c r="A910" s="6"/>
      <c r="B910" s="7" t="s">
        <v>157</v>
      </c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191"/>
    </row>
    <row r="911" spans="1:75" ht="38.25" hidden="1" x14ac:dyDescent="0.2">
      <c r="A911" s="6" t="s">
        <v>103</v>
      </c>
      <c r="B911" s="16" t="s">
        <v>175</v>
      </c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191"/>
    </row>
    <row r="912" spans="1:75" hidden="1" x14ac:dyDescent="0.2">
      <c r="A912" s="6"/>
      <c r="B912" s="10" t="s">
        <v>91</v>
      </c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191"/>
    </row>
    <row r="913" spans="1:75" hidden="1" x14ac:dyDescent="0.2">
      <c r="A913" s="6"/>
      <c r="B913" s="17" t="s">
        <v>92</v>
      </c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191"/>
    </row>
    <row r="914" spans="1:75" hidden="1" x14ac:dyDescent="0.2">
      <c r="A914" s="6"/>
      <c r="B914" s="10" t="s">
        <v>156</v>
      </c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191"/>
    </row>
    <row r="915" spans="1:75" hidden="1" x14ac:dyDescent="0.2">
      <c r="A915" s="6"/>
      <c r="B915" s="17" t="s">
        <v>157</v>
      </c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191"/>
    </row>
    <row r="916" spans="1:75" ht="38.25" hidden="1" x14ac:dyDescent="0.2">
      <c r="A916" s="6" t="s">
        <v>104</v>
      </c>
      <c r="B916" s="103" t="s">
        <v>168</v>
      </c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191"/>
    </row>
    <row r="917" spans="1:75" hidden="1" x14ac:dyDescent="0.2">
      <c r="O917" s="28"/>
    </row>
    <row r="918" spans="1:75" x14ac:dyDescent="0.2">
      <c r="E918" s="120"/>
      <c r="G918" s="120"/>
      <c r="O918" s="28"/>
    </row>
    <row r="919" spans="1:75" x14ac:dyDescent="0.2">
      <c r="O919" s="28"/>
    </row>
    <row r="920" spans="1:75" x14ac:dyDescent="0.2">
      <c r="O920" s="28"/>
    </row>
    <row r="921" spans="1:75" s="122" customFormat="1" ht="12" x14ac:dyDescent="0.2">
      <c r="B921" s="125"/>
      <c r="C921" s="125"/>
      <c r="D921" s="126"/>
      <c r="E921" s="126"/>
      <c r="F921" s="126"/>
      <c r="G921" s="125"/>
      <c r="H921" s="125"/>
      <c r="I921" s="127"/>
    </row>
    <row r="922" spans="1:75" s="123" customFormat="1" ht="12" x14ac:dyDescent="0.2">
      <c r="B922" s="128"/>
      <c r="C922" s="128"/>
      <c r="D922" s="127"/>
      <c r="E922" s="127"/>
      <c r="F922" s="127"/>
      <c r="G922" s="127"/>
      <c r="H922" s="127"/>
      <c r="I922" s="127"/>
      <c r="K922" s="129"/>
    </row>
    <row r="923" spans="1:75" s="123" customFormat="1" ht="12" x14ac:dyDescent="0.2">
      <c r="B923" s="128"/>
      <c r="C923" s="128"/>
      <c r="D923" s="127"/>
      <c r="E923" s="127"/>
      <c r="F923" s="127"/>
      <c r="G923" s="127"/>
      <c r="H923" s="127"/>
      <c r="I923" s="127"/>
      <c r="K923" s="129"/>
    </row>
    <row r="924" spans="1:75" s="122" customFormat="1" ht="31.5" customHeight="1" x14ac:dyDescent="0.25">
      <c r="A924" s="154"/>
      <c r="B924" s="154"/>
      <c r="C924" s="154"/>
      <c r="D924" s="154"/>
      <c r="E924" s="154"/>
      <c r="F924" s="154"/>
      <c r="G924" s="154"/>
      <c r="H924" s="154"/>
      <c r="I924" s="154"/>
    </row>
    <row r="925" spans="1:75" s="122" customFormat="1" ht="12" x14ac:dyDescent="0.2">
      <c r="A925" s="130"/>
      <c r="B925" s="130"/>
      <c r="C925" s="130"/>
      <c r="D925" s="130"/>
      <c r="E925" s="130"/>
      <c r="F925" s="130"/>
      <c r="G925" s="130"/>
      <c r="H925" s="130"/>
      <c r="I925" s="130"/>
    </row>
    <row r="926" spans="1:75" s="131" customFormat="1" ht="36" customHeight="1" x14ac:dyDescent="0.25">
      <c r="A926" s="155"/>
      <c r="B926" s="155"/>
      <c r="C926" s="155"/>
      <c r="D926" s="155"/>
      <c r="E926" s="155"/>
      <c r="G926" s="155"/>
      <c r="H926" s="155"/>
      <c r="I926" s="155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  <c r="AA926" s="142"/>
      <c r="AB926" s="142"/>
      <c r="AC926" s="142"/>
      <c r="AD926" s="142"/>
      <c r="AE926" s="142"/>
      <c r="AF926" s="142"/>
      <c r="AG926" s="142"/>
      <c r="AH926" s="142"/>
      <c r="AI926" s="142"/>
      <c r="AJ926" s="142"/>
      <c r="AK926" s="142"/>
      <c r="AL926" s="142"/>
      <c r="AM926" s="142"/>
      <c r="AN926" s="142"/>
      <c r="AO926" s="142"/>
      <c r="AP926" s="142"/>
      <c r="AQ926" s="142"/>
      <c r="AR926" s="142"/>
      <c r="AS926" s="142"/>
      <c r="AT926" s="142"/>
      <c r="AU926" s="142"/>
      <c r="AV926" s="142"/>
      <c r="AW926" s="142"/>
      <c r="AX926" s="142"/>
      <c r="AY926" s="142"/>
      <c r="AZ926" s="142"/>
      <c r="BA926" s="142"/>
      <c r="BB926" s="142"/>
      <c r="BC926" s="142"/>
      <c r="BD926" s="142"/>
      <c r="BE926" s="142"/>
      <c r="BF926" s="142"/>
      <c r="BG926" s="142"/>
      <c r="BH926" s="142"/>
      <c r="BI926" s="142"/>
      <c r="BJ926" s="142"/>
      <c r="BK926" s="142"/>
      <c r="BL926" s="142"/>
      <c r="BM926" s="142"/>
      <c r="BN926" s="142"/>
      <c r="BO926" s="142"/>
      <c r="BP926" s="142"/>
      <c r="BQ926" s="142"/>
      <c r="BR926" s="142"/>
      <c r="BS926" s="142"/>
      <c r="BT926" s="142"/>
      <c r="BU926" s="142"/>
      <c r="BV926" s="142"/>
      <c r="BW926" s="142"/>
    </row>
    <row r="927" spans="1:75" s="131" customFormat="1" ht="29.25" customHeight="1" x14ac:dyDescent="0.25">
      <c r="A927" s="155"/>
      <c r="I927" s="13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  <c r="AA927" s="142"/>
      <c r="AB927" s="142"/>
      <c r="AC927" s="142"/>
      <c r="AD927" s="142"/>
      <c r="AE927" s="142"/>
      <c r="AF927" s="142"/>
      <c r="AG927" s="142"/>
      <c r="AH927" s="142"/>
      <c r="AI927" s="142"/>
      <c r="AJ927" s="142"/>
      <c r="AK927" s="142"/>
      <c r="AL927" s="142"/>
      <c r="AM927" s="142"/>
      <c r="AN927" s="142"/>
      <c r="AO927" s="142"/>
      <c r="AP927" s="142"/>
      <c r="AQ927" s="142"/>
      <c r="AR927" s="142"/>
      <c r="AS927" s="142"/>
      <c r="AT927" s="142"/>
      <c r="AU927" s="142"/>
      <c r="AV927" s="142"/>
      <c r="AW927" s="142"/>
      <c r="AX927" s="142"/>
      <c r="AY927" s="142"/>
      <c r="AZ927" s="142"/>
      <c r="BA927" s="142"/>
      <c r="BB927" s="142"/>
      <c r="BC927" s="142"/>
      <c r="BD927" s="142"/>
      <c r="BE927" s="142"/>
      <c r="BF927" s="142"/>
      <c r="BG927" s="142"/>
      <c r="BH927" s="142"/>
      <c r="BI927" s="142"/>
      <c r="BJ927" s="142"/>
      <c r="BK927" s="142"/>
      <c r="BL927" s="142"/>
      <c r="BM927" s="142"/>
      <c r="BN927" s="142"/>
      <c r="BO927" s="142"/>
      <c r="BP927" s="142"/>
      <c r="BQ927" s="142"/>
      <c r="BR927" s="142"/>
      <c r="BS927" s="142"/>
      <c r="BT927" s="142"/>
      <c r="BU927" s="142"/>
      <c r="BV927" s="142"/>
      <c r="BW927" s="142"/>
    </row>
    <row r="928" spans="1:75" s="122" customFormat="1" ht="12" x14ac:dyDescent="0.2">
      <c r="B928" s="124"/>
      <c r="C928" s="125"/>
      <c r="D928" s="126"/>
      <c r="E928" s="126"/>
      <c r="F928" s="126"/>
      <c r="G928" s="125"/>
      <c r="H928" s="125"/>
      <c r="I928" s="127"/>
    </row>
    <row r="929" spans="1:254" s="122" customFormat="1" ht="12" x14ac:dyDescent="0.2">
      <c r="B929" s="124"/>
      <c r="C929" s="124"/>
      <c r="D929" s="126"/>
      <c r="E929" s="126"/>
      <c r="F929" s="126"/>
      <c r="G929" s="125"/>
      <c r="H929" s="125"/>
      <c r="I929" s="127"/>
    </row>
    <row r="930" spans="1:254" s="122" customFormat="1" ht="12" x14ac:dyDescent="0.2">
      <c r="A930" s="133"/>
      <c r="B930" s="124"/>
      <c r="C930" s="125"/>
      <c r="D930" s="126"/>
      <c r="E930" s="126"/>
      <c r="F930" s="126"/>
      <c r="G930" s="125"/>
      <c r="H930" s="125"/>
      <c r="I930" s="127"/>
    </row>
    <row r="931" spans="1:254" s="122" customFormat="1" ht="12" x14ac:dyDescent="0.2">
      <c r="B931" s="124"/>
      <c r="C931" s="124"/>
      <c r="D931" s="126"/>
      <c r="E931" s="126"/>
      <c r="F931" s="126"/>
      <c r="G931" s="125"/>
      <c r="H931" s="125"/>
      <c r="I931" s="127"/>
    </row>
    <row r="932" spans="1:254" s="122" customFormat="1" ht="24.75" customHeight="1" x14ac:dyDescent="0.2">
      <c r="A932" s="131"/>
      <c r="B932" s="125"/>
      <c r="C932" s="124"/>
      <c r="D932" s="126"/>
      <c r="E932" s="126"/>
      <c r="F932" s="126"/>
      <c r="G932" s="125"/>
      <c r="H932" s="125"/>
      <c r="I932" s="127"/>
    </row>
    <row r="933" spans="1:254" s="122" customFormat="1" ht="12" x14ac:dyDescent="0.2">
      <c r="B933" s="124"/>
      <c r="C933" s="125"/>
      <c r="D933" s="126"/>
      <c r="E933" s="126"/>
      <c r="F933" s="126"/>
      <c r="G933" s="125"/>
      <c r="H933" s="125"/>
      <c r="I933" s="127"/>
    </row>
    <row r="934" spans="1:254" s="122" customFormat="1" ht="12" x14ac:dyDescent="0.2">
      <c r="B934" s="125"/>
      <c r="C934" s="125"/>
      <c r="D934" s="126"/>
      <c r="E934" s="126"/>
      <c r="F934" s="126"/>
      <c r="G934" s="125"/>
      <c r="H934" s="125"/>
      <c r="I934" s="127"/>
    </row>
    <row r="935" spans="1:254" s="123" customFormat="1" ht="12" x14ac:dyDescent="0.2">
      <c r="B935" s="128"/>
      <c r="C935" s="128"/>
      <c r="D935" s="127"/>
      <c r="E935" s="127"/>
      <c r="F935" s="127"/>
      <c r="G935" s="127"/>
      <c r="H935" s="127"/>
      <c r="I935" s="127"/>
      <c r="K935" s="129"/>
    </row>
    <row r="936" spans="1:254" s="123" customFormat="1" ht="12" x14ac:dyDescent="0.2">
      <c r="B936" s="128"/>
      <c r="C936" s="128"/>
      <c r="D936" s="127"/>
      <c r="E936" s="127"/>
      <c r="F936" s="127"/>
      <c r="G936" s="127"/>
      <c r="H936" s="127"/>
      <c r="I936" s="127"/>
    </row>
    <row r="937" spans="1:254" s="134" customForma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  <c r="AI937" s="126"/>
      <c r="AJ937" s="126"/>
      <c r="AK937" s="126"/>
      <c r="AL937" s="126"/>
      <c r="AM937" s="126"/>
      <c r="AN937" s="126"/>
      <c r="AO937" s="126"/>
      <c r="AP937" s="126"/>
      <c r="AQ937" s="126"/>
      <c r="AR937" s="126"/>
      <c r="AS937" s="126"/>
      <c r="AT937" s="126"/>
      <c r="AU937" s="126"/>
      <c r="AV937" s="126"/>
      <c r="AW937" s="126"/>
      <c r="AX937" s="126"/>
      <c r="AY937" s="126"/>
      <c r="AZ937" s="126"/>
      <c r="BA937" s="126"/>
      <c r="BB937" s="126"/>
      <c r="BC937" s="126"/>
      <c r="BD937" s="126"/>
      <c r="BE937" s="126"/>
      <c r="BF937" s="126"/>
      <c r="BG937" s="126"/>
      <c r="BH937" s="126"/>
      <c r="BI937" s="126"/>
      <c r="BJ937" s="126"/>
      <c r="BK937" s="126"/>
      <c r="BL937" s="126"/>
      <c r="BM937" s="126"/>
      <c r="BN937" s="126"/>
      <c r="BO937" s="126"/>
      <c r="BP937" s="126"/>
      <c r="BQ937" s="126"/>
      <c r="BR937" s="126"/>
      <c r="BS937" s="126"/>
      <c r="BT937" s="126"/>
      <c r="BU937" s="126"/>
      <c r="BV937" s="126"/>
      <c r="BW937" s="126"/>
      <c r="BX937" s="126"/>
      <c r="BY937" s="126"/>
      <c r="BZ937" s="126"/>
      <c r="CA937" s="126"/>
      <c r="CB937" s="126"/>
      <c r="CC937" s="126"/>
      <c r="CD937" s="126"/>
      <c r="CE937" s="126"/>
      <c r="CF937" s="126"/>
      <c r="CG937" s="126"/>
      <c r="CH937" s="126"/>
      <c r="CI937" s="126"/>
      <c r="CJ937" s="126"/>
      <c r="CK937" s="126"/>
      <c r="CL937" s="126"/>
      <c r="CM937" s="126"/>
      <c r="CN937" s="126"/>
      <c r="CO937" s="126"/>
      <c r="CP937" s="126"/>
      <c r="CQ937" s="126"/>
      <c r="CR937" s="126"/>
      <c r="CS937" s="126"/>
      <c r="CT937" s="126"/>
      <c r="CU937" s="126"/>
      <c r="CV937" s="126"/>
      <c r="CW937" s="126"/>
      <c r="CX937" s="126"/>
      <c r="CY937" s="126"/>
      <c r="CZ937" s="126"/>
      <c r="DA937" s="126"/>
      <c r="DB937" s="126"/>
      <c r="DC937" s="126"/>
      <c r="DD937" s="126"/>
      <c r="DE937" s="126"/>
      <c r="DF937" s="126"/>
      <c r="DG937" s="126"/>
      <c r="DH937" s="126"/>
      <c r="DI937" s="126"/>
      <c r="DJ937" s="126"/>
      <c r="DK937" s="126"/>
      <c r="DL937" s="126"/>
      <c r="DM937" s="126"/>
      <c r="DN937" s="126"/>
      <c r="DO937" s="126"/>
      <c r="DP937" s="126"/>
      <c r="DQ937" s="126"/>
      <c r="DR937" s="126"/>
      <c r="DS937" s="126"/>
      <c r="DT937" s="126"/>
      <c r="DU937" s="126"/>
      <c r="DV937" s="126"/>
      <c r="DW937" s="126"/>
      <c r="DX937" s="126"/>
      <c r="DY937" s="126"/>
      <c r="DZ937" s="126"/>
      <c r="EA937" s="126"/>
      <c r="EB937" s="126"/>
      <c r="EC937" s="126"/>
      <c r="ED937" s="126"/>
      <c r="EE937" s="126"/>
      <c r="EF937" s="126"/>
      <c r="EG937" s="126"/>
      <c r="EH937" s="126"/>
      <c r="EI937" s="126"/>
      <c r="EJ937" s="126"/>
      <c r="EK937" s="126"/>
      <c r="EL937" s="126"/>
      <c r="EM937" s="126"/>
      <c r="EN937" s="126"/>
      <c r="EO937" s="126"/>
      <c r="EP937" s="126"/>
      <c r="EQ937" s="126"/>
      <c r="ER937" s="126"/>
      <c r="ES937" s="126"/>
      <c r="ET937" s="126"/>
      <c r="EU937" s="126"/>
      <c r="EV937" s="126"/>
      <c r="EW937" s="126"/>
      <c r="EX937" s="126"/>
      <c r="EY937" s="126"/>
      <c r="EZ937" s="126"/>
      <c r="FA937" s="126"/>
      <c r="FB937" s="126"/>
      <c r="FC937" s="126"/>
      <c r="FD937" s="126"/>
      <c r="FE937" s="126"/>
      <c r="FF937" s="126"/>
      <c r="FG937" s="126"/>
      <c r="FH937" s="126"/>
      <c r="FI937" s="126"/>
      <c r="FJ937" s="126"/>
      <c r="FK937" s="126"/>
      <c r="FL937" s="126"/>
      <c r="FM937" s="126"/>
      <c r="FN937" s="126"/>
      <c r="FO937" s="126"/>
      <c r="FP937" s="126"/>
      <c r="FQ937" s="126"/>
      <c r="FR937" s="126"/>
      <c r="FS937" s="126"/>
      <c r="FT937" s="126"/>
      <c r="FU937" s="126"/>
      <c r="FV937" s="126"/>
      <c r="FW937" s="126"/>
      <c r="FX937" s="126"/>
      <c r="FY937" s="126"/>
      <c r="FZ937" s="126"/>
      <c r="GA937" s="126"/>
      <c r="GB937" s="126"/>
      <c r="GC937" s="126"/>
      <c r="GD937" s="126"/>
      <c r="GE937" s="126"/>
      <c r="GF937" s="126"/>
      <c r="GG937" s="126"/>
      <c r="GH937" s="126"/>
      <c r="GI937" s="126"/>
      <c r="GJ937" s="126"/>
      <c r="GK937" s="126"/>
      <c r="GL937" s="126"/>
      <c r="GM937" s="126"/>
      <c r="GN937" s="126"/>
      <c r="GO937" s="126"/>
      <c r="GP937" s="126"/>
      <c r="GQ937" s="126"/>
      <c r="GR937" s="126"/>
      <c r="GS937" s="126"/>
      <c r="GT937" s="126"/>
      <c r="GU937" s="126"/>
      <c r="GV937" s="126"/>
      <c r="GW937" s="126"/>
      <c r="GX937" s="126"/>
      <c r="GY937" s="126"/>
      <c r="GZ937" s="126"/>
      <c r="HA937" s="126"/>
      <c r="HB937" s="126"/>
      <c r="HC937" s="126"/>
      <c r="HD937" s="126"/>
      <c r="HE937" s="126"/>
      <c r="HF937" s="126"/>
      <c r="HG937" s="126"/>
      <c r="HH937" s="126"/>
      <c r="HI937" s="126"/>
      <c r="HJ937" s="126"/>
      <c r="HK937" s="126"/>
      <c r="HL937" s="126"/>
      <c r="HM937" s="126"/>
      <c r="HN937" s="126"/>
      <c r="HO937" s="126"/>
      <c r="HP937" s="126"/>
      <c r="HQ937" s="126"/>
      <c r="HR937" s="126"/>
      <c r="HS937" s="126"/>
      <c r="HT937" s="126"/>
      <c r="HU937" s="126"/>
      <c r="HV937" s="126"/>
      <c r="HW937" s="126"/>
      <c r="HX937" s="126"/>
      <c r="HY937" s="126"/>
      <c r="HZ937" s="126"/>
      <c r="IA937" s="126"/>
      <c r="IB937" s="126"/>
      <c r="IC937" s="126"/>
      <c r="ID937" s="126"/>
      <c r="IE937" s="126"/>
      <c r="IF937" s="126"/>
      <c r="IG937" s="126"/>
      <c r="IH937" s="126"/>
      <c r="II937" s="126"/>
      <c r="IJ937" s="126"/>
      <c r="IK937" s="126"/>
      <c r="IL937" s="126"/>
      <c r="IM937" s="126"/>
      <c r="IN937" s="126"/>
      <c r="IO937" s="126"/>
      <c r="IP937" s="126"/>
      <c r="IQ937" s="126"/>
      <c r="IR937" s="126"/>
      <c r="IS937" s="126"/>
      <c r="IT937" s="126"/>
    </row>
    <row r="938" spans="1:254" s="122" customFormat="1" ht="31.5" customHeight="1" x14ac:dyDescent="0.25">
      <c r="A938" s="154"/>
      <c r="B938" s="154"/>
      <c r="C938" s="154"/>
      <c r="D938" s="154"/>
      <c r="E938" s="154"/>
      <c r="F938" s="154"/>
      <c r="G938" s="154"/>
      <c r="H938" s="154"/>
      <c r="I938" s="154"/>
    </row>
    <row r="939" spans="1:254" s="122" customFormat="1" ht="12" x14ac:dyDescent="0.2">
      <c r="A939" s="130"/>
      <c r="B939" s="130"/>
      <c r="C939" s="130"/>
      <c r="D939" s="130"/>
      <c r="E939" s="130"/>
      <c r="F939" s="130"/>
      <c r="G939" s="130"/>
      <c r="H939" s="130"/>
      <c r="I939" s="130"/>
    </row>
    <row r="940" spans="1:254" s="131" customFormat="1" ht="36" customHeight="1" x14ac:dyDescent="0.25">
      <c r="A940" s="155"/>
      <c r="B940" s="155"/>
      <c r="C940" s="155"/>
      <c r="D940" s="155"/>
      <c r="E940" s="155"/>
      <c r="G940" s="155"/>
      <c r="H940" s="155"/>
      <c r="I940" s="155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  <c r="AA940" s="142"/>
      <c r="AB940" s="142"/>
      <c r="AC940" s="142"/>
      <c r="AD940" s="142"/>
      <c r="AE940" s="142"/>
      <c r="AF940" s="142"/>
      <c r="AG940" s="142"/>
      <c r="AH940" s="142"/>
      <c r="AI940" s="142"/>
      <c r="AJ940" s="142"/>
      <c r="AK940" s="142"/>
      <c r="AL940" s="142"/>
      <c r="AM940" s="142"/>
      <c r="AN940" s="142"/>
      <c r="AO940" s="142"/>
      <c r="AP940" s="142"/>
      <c r="AQ940" s="142"/>
      <c r="AR940" s="142"/>
      <c r="AS940" s="142"/>
      <c r="AT940" s="142"/>
      <c r="AU940" s="142"/>
      <c r="AV940" s="142"/>
      <c r="AW940" s="142"/>
      <c r="AX940" s="142"/>
      <c r="AY940" s="142"/>
      <c r="AZ940" s="142"/>
      <c r="BA940" s="142"/>
      <c r="BB940" s="142"/>
      <c r="BC940" s="142"/>
      <c r="BD940" s="142"/>
      <c r="BE940" s="142"/>
      <c r="BF940" s="142"/>
      <c r="BG940" s="142"/>
      <c r="BH940" s="142"/>
      <c r="BI940" s="142"/>
      <c r="BJ940" s="142"/>
      <c r="BK940" s="142"/>
      <c r="BL940" s="142"/>
      <c r="BM940" s="142"/>
      <c r="BN940" s="142"/>
      <c r="BO940" s="142"/>
      <c r="BP940" s="142"/>
      <c r="BQ940" s="142"/>
      <c r="BR940" s="142"/>
      <c r="BS940" s="142"/>
      <c r="BT940" s="142"/>
      <c r="BU940" s="142"/>
      <c r="BV940" s="142"/>
      <c r="BW940" s="142"/>
    </row>
    <row r="941" spans="1:254" s="131" customFormat="1" ht="29.25" customHeight="1" x14ac:dyDescent="0.25">
      <c r="A941" s="155"/>
      <c r="I941" s="13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  <c r="AA941" s="142"/>
      <c r="AB941" s="142"/>
      <c r="AC941" s="142"/>
      <c r="AD941" s="142"/>
      <c r="AE941" s="142"/>
      <c r="AF941" s="142"/>
      <c r="AG941" s="142"/>
      <c r="AH941" s="142"/>
      <c r="AI941" s="142"/>
      <c r="AJ941" s="142"/>
      <c r="AK941" s="142"/>
      <c r="AL941" s="142"/>
      <c r="AM941" s="142"/>
      <c r="AN941" s="142"/>
      <c r="AO941" s="142"/>
      <c r="AP941" s="142"/>
      <c r="AQ941" s="142"/>
      <c r="AR941" s="142"/>
      <c r="AS941" s="142"/>
      <c r="AT941" s="142"/>
      <c r="AU941" s="142"/>
      <c r="AV941" s="142"/>
      <c r="AW941" s="142"/>
      <c r="AX941" s="142"/>
      <c r="AY941" s="142"/>
      <c r="AZ941" s="142"/>
      <c r="BA941" s="142"/>
      <c r="BB941" s="142"/>
      <c r="BC941" s="142"/>
      <c r="BD941" s="142"/>
      <c r="BE941" s="142"/>
      <c r="BF941" s="142"/>
      <c r="BG941" s="142"/>
      <c r="BH941" s="142"/>
      <c r="BI941" s="142"/>
      <c r="BJ941" s="142"/>
      <c r="BK941" s="142"/>
      <c r="BL941" s="142"/>
      <c r="BM941" s="142"/>
      <c r="BN941" s="142"/>
      <c r="BO941" s="142"/>
      <c r="BP941" s="142"/>
      <c r="BQ941" s="142"/>
      <c r="BR941" s="142"/>
      <c r="BS941" s="142"/>
      <c r="BT941" s="142"/>
      <c r="BU941" s="142"/>
      <c r="BV941" s="142"/>
      <c r="BW941" s="142"/>
    </row>
    <row r="942" spans="1:254" s="122" customFormat="1" ht="12" x14ac:dyDescent="0.2">
      <c r="B942" s="124"/>
      <c r="C942" s="125"/>
      <c r="D942" s="126"/>
      <c r="E942" s="126"/>
      <c r="F942" s="126"/>
      <c r="G942" s="125"/>
      <c r="H942" s="125"/>
      <c r="I942" s="127"/>
    </row>
    <row r="943" spans="1:254" s="122" customFormat="1" ht="12" x14ac:dyDescent="0.2">
      <c r="B943" s="124"/>
      <c r="C943" s="124"/>
      <c r="D943" s="126"/>
      <c r="E943" s="126"/>
      <c r="F943" s="126"/>
      <c r="G943" s="125"/>
      <c r="H943" s="125"/>
      <c r="I943" s="127"/>
    </row>
    <row r="944" spans="1:254" s="122" customFormat="1" ht="12" x14ac:dyDescent="0.2">
      <c r="A944" s="133"/>
      <c r="B944" s="124"/>
      <c r="C944" s="125"/>
      <c r="D944" s="126"/>
      <c r="E944" s="126"/>
      <c r="F944" s="126"/>
      <c r="G944" s="125"/>
      <c r="H944" s="125"/>
      <c r="I944" s="127"/>
    </row>
    <row r="945" spans="1:254" s="122" customFormat="1" ht="12" x14ac:dyDescent="0.2">
      <c r="B945" s="124"/>
      <c r="C945" s="124"/>
      <c r="D945" s="126"/>
      <c r="E945" s="126"/>
      <c r="F945" s="126"/>
      <c r="G945" s="125"/>
      <c r="H945" s="125"/>
      <c r="I945" s="127"/>
    </row>
    <row r="946" spans="1:254" s="122" customFormat="1" ht="24.75" customHeight="1" x14ac:dyDescent="0.2">
      <c r="A946" s="135"/>
      <c r="B946" s="125"/>
      <c r="C946" s="124"/>
      <c r="D946" s="126"/>
      <c r="E946" s="126"/>
      <c r="F946" s="126"/>
      <c r="G946" s="125"/>
      <c r="H946" s="125"/>
      <c r="I946" s="127"/>
    </row>
    <row r="947" spans="1:254" s="122" customFormat="1" ht="12" x14ac:dyDescent="0.2">
      <c r="B947" s="124"/>
      <c r="C947" s="125"/>
      <c r="D947" s="126"/>
      <c r="E947" s="126"/>
      <c r="F947" s="126"/>
      <c r="G947" s="125"/>
      <c r="H947" s="125"/>
      <c r="I947" s="127"/>
    </row>
    <row r="948" spans="1:254" s="122" customFormat="1" ht="12" x14ac:dyDescent="0.2">
      <c r="B948" s="125"/>
      <c r="C948" s="125"/>
      <c r="D948" s="126"/>
      <c r="E948" s="126"/>
      <c r="F948" s="126"/>
      <c r="G948" s="125"/>
      <c r="H948" s="125"/>
      <c r="I948" s="127"/>
    </row>
    <row r="949" spans="1:254" s="123" customFormat="1" ht="12" x14ac:dyDescent="0.2">
      <c r="B949" s="128"/>
      <c r="C949" s="128"/>
      <c r="D949" s="127"/>
      <c r="E949" s="127"/>
      <c r="F949" s="127"/>
      <c r="G949" s="127"/>
      <c r="H949" s="127"/>
      <c r="I949" s="127"/>
      <c r="K949" s="129"/>
    </row>
    <row r="950" spans="1:254" s="123" customFormat="1" ht="12" x14ac:dyDescent="0.2">
      <c r="B950" s="128"/>
      <c r="C950" s="128"/>
      <c r="D950" s="127"/>
      <c r="E950" s="127"/>
      <c r="F950" s="127"/>
      <c r="G950" s="127"/>
      <c r="H950" s="127"/>
      <c r="I950" s="127"/>
    </row>
    <row r="951" spans="1:254" s="134" customForma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  <c r="AI951" s="126"/>
      <c r="AJ951" s="126"/>
      <c r="AK951" s="126"/>
      <c r="AL951" s="126"/>
      <c r="AM951" s="126"/>
      <c r="AN951" s="126"/>
      <c r="AO951" s="126"/>
      <c r="AP951" s="126"/>
      <c r="AQ951" s="126"/>
      <c r="AR951" s="126"/>
      <c r="AS951" s="126"/>
      <c r="AT951" s="126"/>
      <c r="AU951" s="126"/>
      <c r="AV951" s="126"/>
      <c r="AW951" s="126"/>
      <c r="AX951" s="126"/>
      <c r="AY951" s="126"/>
      <c r="AZ951" s="126"/>
      <c r="BA951" s="126"/>
      <c r="BB951" s="126"/>
      <c r="BC951" s="126"/>
      <c r="BD951" s="126"/>
      <c r="BE951" s="126"/>
      <c r="BF951" s="126"/>
      <c r="BG951" s="126"/>
      <c r="BH951" s="126"/>
      <c r="BI951" s="126"/>
      <c r="BJ951" s="126"/>
      <c r="BK951" s="126"/>
      <c r="BL951" s="126"/>
      <c r="BM951" s="126"/>
      <c r="BN951" s="126"/>
      <c r="BO951" s="126"/>
      <c r="BP951" s="126"/>
      <c r="BQ951" s="126"/>
      <c r="BR951" s="126"/>
      <c r="BS951" s="126"/>
      <c r="BT951" s="126"/>
      <c r="BU951" s="126"/>
      <c r="BV951" s="126"/>
      <c r="BW951" s="126"/>
      <c r="BX951" s="126"/>
      <c r="BY951" s="126"/>
      <c r="BZ951" s="126"/>
      <c r="CA951" s="126"/>
      <c r="CB951" s="126"/>
      <c r="CC951" s="126"/>
      <c r="CD951" s="126"/>
      <c r="CE951" s="126"/>
      <c r="CF951" s="126"/>
      <c r="CG951" s="126"/>
      <c r="CH951" s="126"/>
      <c r="CI951" s="126"/>
      <c r="CJ951" s="126"/>
      <c r="CK951" s="126"/>
      <c r="CL951" s="126"/>
      <c r="CM951" s="126"/>
      <c r="CN951" s="126"/>
      <c r="CO951" s="126"/>
      <c r="CP951" s="126"/>
      <c r="CQ951" s="126"/>
      <c r="CR951" s="126"/>
      <c r="CS951" s="126"/>
      <c r="CT951" s="126"/>
      <c r="CU951" s="126"/>
      <c r="CV951" s="126"/>
      <c r="CW951" s="126"/>
      <c r="CX951" s="126"/>
      <c r="CY951" s="126"/>
      <c r="CZ951" s="126"/>
      <c r="DA951" s="126"/>
      <c r="DB951" s="126"/>
      <c r="DC951" s="126"/>
      <c r="DD951" s="126"/>
      <c r="DE951" s="126"/>
      <c r="DF951" s="126"/>
      <c r="DG951" s="126"/>
      <c r="DH951" s="126"/>
      <c r="DI951" s="126"/>
      <c r="DJ951" s="126"/>
      <c r="DK951" s="126"/>
      <c r="DL951" s="126"/>
      <c r="DM951" s="126"/>
      <c r="DN951" s="126"/>
      <c r="DO951" s="126"/>
      <c r="DP951" s="126"/>
      <c r="DQ951" s="126"/>
      <c r="DR951" s="126"/>
      <c r="DS951" s="126"/>
      <c r="DT951" s="126"/>
      <c r="DU951" s="126"/>
      <c r="DV951" s="126"/>
      <c r="DW951" s="126"/>
      <c r="DX951" s="126"/>
      <c r="DY951" s="126"/>
      <c r="DZ951" s="126"/>
      <c r="EA951" s="126"/>
      <c r="EB951" s="126"/>
      <c r="EC951" s="126"/>
      <c r="ED951" s="126"/>
      <c r="EE951" s="126"/>
      <c r="EF951" s="126"/>
      <c r="EG951" s="126"/>
      <c r="EH951" s="126"/>
      <c r="EI951" s="126"/>
      <c r="EJ951" s="126"/>
      <c r="EK951" s="126"/>
      <c r="EL951" s="126"/>
      <c r="EM951" s="126"/>
      <c r="EN951" s="126"/>
      <c r="EO951" s="126"/>
      <c r="EP951" s="126"/>
      <c r="EQ951" s="126"/>
      <c r="ER951" s="126"/>
      <c r="ES951" s="126"/>
      <c r="ET951" s="126"/>
      <c r="EU951" s="126"/>
      <c r="EV951" s="126"/>
      <c r="EW951" s="126"/>
      <c r="EX951" s="126"/>
      <c r="EY951" s="126"/>
      <c r="EZ951" s="126"/>
      <c r="FA951" s="126"/>
      <c r="FB951" s="126"/>
      <c r="FC951" s="126"/>
      <c r="FD951" s="126"/>
      <c r="FE951" s="126"/>
      <c r="FF951" s="126"/>
      <c r="FG951" s="126"/>
      <c r="FH951" s="126"/>
      <c r="FI951" s="126"/>
      <c r="FJ951" s="126"/>
      <c r="FK951" s="126"/>
      <c r="FL951" s="126"/>
      <c r="FM951" s="126"/>
      <c r="FN951" s="126"/>
      <c r="FO951" s="126"/>
      <c r="FP951" s="126"/>
      <c r="FQ951" s="126"/>
      <c r="FR951" s="126"/>
      <c r="FS951" s="126"/>
      <c r="FT951" s="126"/>
      <c r="FU951" s="126"/>
      <c r="FV951" s="126"/>
      <c r="FW951" s="126"/>
      <c r="FX951" s="126"/>
      <c r="FY951" s="126"/>
      <c r="FZ951" s="126"/>
      <c r="GA951" s="126"/>
      <c r="GB951" s="126"/>
      <c r="GC951" s="126"/>
      <c r="GD951" s="126"/>
      <c r="GE951" s="126"/>
      <c r="GF951" s="126"/>
      <c r="GG951" s="126"/>
      <c r="GH951" s="126"/>
      <c r="GI951" s="126"/>
      <c r="GJ951" s="126"/>
      <c r="GK951" s="126"/>
      <c r="GL951" s="126"/>
      <c r="GM951" s="126"/>
      <c r="GN951" s="126"/>
      <c r="GO951" s="126"/>
      <c r="GP951" s="126"/>
      <c r="GQ951" s="126"/>
      <c r="GR951" s="126"/>
      <c r="GS951" s="126"/>
      <c r="GT951" s="126"/>
      <c r="GU951" s="126"/>
      <c r="GV951" s="126"/>
      <c r="GW951" s="126"/>
      <c r="GX951" s="126"/>
      <c r="GY951" s="126"/>
      <c r="GZ951" s="126"/>
      <c r="HA951" s="126"/>
      <c r="HB951" s="126"/>
      <c r="HC951" s="126"/>
      <c r="HD951" s="126"/>
      <c r="HE951" s="126"/>
      <c r="HF951" s="126"/>
      <c r="HG951" s="126"/>
      <c r="HH951" s="126"/>
      <c r="HI951" s="126"/>
      <c r="HJ951" s="126"/>
      <c r="HK951" s="126"/>
      <c r="HL951" s="126"/>
      <c r="HM951" s="126"/>
      <c r="HN951" s="126"/>
      <c r="HO951" s="126"/>
      <c r="HP951" s="126"/>
      <c r="HQ951" s="126"/>
      <c r="HR951" s="126"/>
      <c r="HS951" s="126"/>
      <c r="HT951" s="126"/>
      <c r="HU951" s="126"/>
      <c r="HV951" s="126"/>
      <c r="HW951" s="126"/>
      <c r="HX951" s="126"/>
      <c r="HY951" s="126"/>
      <c r="HZ951" s="126"/>
      <c r="IA951" s="126"/>
      <c r="IB951" s="126"/>
      <c r="IC951" s="126"/>
      <c r="ID951" s="126"/>
      <c r="IE951" s="126"/>
      <c r="IF951" s="126"/>
      <c r="IG951" s="126"/>
      <c r="IH951" s="126"/>
      <c r="II951" s="126"/>
      <c r="IJ951" s="126"/>
      <c r="IK951" s="126"/>
      <c r="IL951" s="126"/>
      <c r="IM951" s="126"/>
      <c r="IN951" s="126"/>
      <c r="IO951" s="126"/>
      <c r="IP951" s="126"/>
      <c r="IQ951" s="126"/>
      <c r="IR951" s="126"/>
      <c r="IS951" s="126"/>
      <c r="IT951" s="126"/>
    </row>
    <row r="952" spans="1:254" s="134" customForma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  <c r="AI952" s="126"/>
      <c r="AJ952" s="126"/>
      <c r="AK952" s="126"/>
      <c r="AL952" s="126"/>
      <c r="AM952" s="126"/>
      <c r="AN952" s="126"/>
      <c r="AO952" s="126"/>
      <c r="AP952" s="126"/>
      <c r="AQ952" s="126"/>
      <c r="AR952" s="126"/>
      <c r="AS952" s="126"/>
      <c r="AT952" s="126"/>
      <c r="AU952" s="126"/>
      <c r="AV952" s="126"/>
      <c r="AW952" s="126"/>
      <c r="AX952" s="126"/>
      <c r="AY952" s="126"/>
      <c r="AZ952" s="126"/>
      <c r="BA952" s="126"/>
      <c r="BB952" s="126"/>
      <c r="BC952" s="126"/>
      <c r="BD952" s="126"/>
      <c r="BE952" s="126"/>
      <c r="BF952" s="126"/>
      <c r="BG952" s="126"/>
      <c r="BH952" s="126"/>
      <c r="BI952" s="126"/>
      <c r="BJ952" s="126"/>
      <c r="BK952" s="126"/>
      <c r="BL952" s="126"/>
      <c r="BM952" s="126"/>
      <c r="BN952" s="126"/>
      <c r="BO952" s="126"/>
      <c r="BP952" s="126"/>
      <c r="BQ952" s="126"/>
      <c r="BR952" s="126"/>
      <c r="BS952" s="126"/>
      <c r="BT952" s="126"/>
      <c r="BU952" s="126"/>
      <c r="BV952" s="126"/>
      <c r="BW952" s="126"/>
      <c r="BX952" s="126"/>
      <c r="BY952" s="126"/>
      <c r="BZ952" s="126"/>
      <c r="CA952" s="126"/>
      <c r="CB952" s="126"/>
      <c r="CC952" s="126"/>
      <c r="CD952" s="126"/>
      <c r="CE952" s="126"/>
      <c r="CF952" s="126"/>
      <c r="CG952" s="126"/>
      <c r="CH952" s="126"/>
      <c r="CI952" s="126"/>
      <c r="CJ952" s="126"/>
      <c r="CK952" s="126"/>
      <c r="CL952" s="126"/>
      <c r="CM952" s="126"/>
      <c r="CN952" s="126"/>
      <c r="CO952" s="126"/>
      <c r="CP952" s="126"/>
      <c r="CQ952" s="126"/>
      <c r="CR952" s="126"/>
      <c r="CS952" s="126"/>
      <c r="CT952" s="126"/>
      <c r="CU952" s="126"/>
      <c r="CV952" s="126"/>
      <c r="CW952" s="126"/>
      <c r="CX952" s="126"/>
      <c r="CY952" s="126"/>
      <c r="CZ952" s="126"/>
      <c r="DA952" s="126"/>
      <c r="DB952" s="126"/>
      <c r="DC952" s="126"/>
      <c r="DD952" s="126"/>
      <c r="DE952" s="126"/>
      <c r="DF952" s="126"/>
      <c r="DG952" s="126"/>
      <c r="DH952" s="126"/>
      <c r="DI952" s="126"/>
      <c r="DJ952" s="126"/>
      <c r="DK952" s="126"/>
      <c r="DL952" s="126"/>
      <c r="DM952" s="126"/>
      <c r="DN952" s="126"/>
      <c r="DO952" s="126"/>
      <c r="DP952" s="126"/>
      <c r="DQ952" s="126"/>
      <c r="DR952" s="126"/>
      <c r="DS952" s="126"/>
      <c r="DT952" s="126"/>
      <c r="DU952" s="126"/>
      <c r="DV952" s="126"/>
      <c r="DW952" s="126"/>
      <c r="DX952" s="126"/>
      <c r="DY952" s="126"/>
      <c r="DZ952" s="126"/>
      <c r="EA952" s="126"/>
      <c r="EB952" s="126"/>
      <c r="EC952" s="126"/>
      <c r="ED952" s="126"/>
      <c r="EE952" s="126"/>
      <c r="EF952" s="126"/>
      <c r="EG952" s="126"/>
      <c r="EH952" s="126"/>
      <c r="EI952" s="126"/>
      <c r="EJ952" s="126"/>
      <c r="EK952" s="126"/>
      <c r="EL952" s="126"/>
      <c r="EM952" s="126"/>
      <c r="EN952" s="126"/>
      <c r="EO952" s="126"/>
      <c r="EP952" s="126"/>
      <c r="EQ952" s="126"/>
      <c r="ER952" s="126"/>
      <c r="ES952" s="126"/>
      <c r="ET952" s="126"/>
      <c r="EU952" s="126"/>
      <c r="EV952" s="126"/>
      <c r="EW952" s="126"/>
      <c r="EX952" s="126"/>
      <c r="EY952" s="126"/>
      <c r="EZ952" s="126"/>
      <c r="FA952" s="126"/>
      <c r="FB952" s="126"/>
      <c r="FC952" s="126"/>
      <c r="FD952" s="126"/>
      <c r="FE952" s="126"/>
      <c r="FF952" s="126"/>
      <c r="FG952" s="126"/>
      <c r="FH952" s="126"/>
      <c r="FI952" s="126"/>
      <c r="FJ952" s="126"/>
      <c r="FK952" s="126"/>
      <c r="FL952" s="126"/>
      <c r="FM952" s="126"/>
      <c r="FN952" s="126"/>
      <c r="FO952" s="126"/>
      <c r="FP952" s="126"/>
      <c r="FQ952" s="126"/>
      <c r="FR952" s="126"/>
      <c r="FS952" s="126"/>
      <c r="FT952" s="126"/>
      <c r="FU952" s="126"/>
      <c r="FV952" s="126"/>
      <c r="FW952" s="126"/>
      <c r="FX952" s="126"/>
      <c r="FY952" s="126"/>
      <c r="FZ952" s="126"/>
      <c r="GA952" s="126"/>
      <c r="GB952" s="126"/>
      <c r="GC952" s="126"/>
      <c r="GD952" s="126"/>
      <c r="GE952" s="126"/>
      <c r="GF952" s="126"/>
      <c r="GG952" s="126"/>
      <c r="GH952" s="126"/>
      <c r="GI952" s="126"/>
      <c r="GJ952" s="126"/>
      <c r="GK952" s="126"/>
      <c r="GL952" s="126"/>
      <c r="GM952" s="126"/>
      <c r="GN952" s="126"/>
      <c r="GO952" s="126"/>
      <c r="GP952" s="126"/>
      <c r="GQ952" s="126"/>
      <c r="GR952" s="126"/>
      <c r="GS952" s="126"/>
      <c r="GT952" s="126"/>
      <c r="GU952" s="126"/>
      <c r="GV952" s="126"/>
      <c r="GW952" s="126"/>
      <c r="GX952" s="126"/>
      <c r="GY952" s="126"/>
      <c r="GZ952" s="126"/>
      <c r="HA952" s="126"/>
      <c r="HB952" s="126"/>
      <c r="HC952" s="126"/>
      <c r="HD952" s="126"/>
      <c r="HE952" s="126"/>
      <c r="HF952" s="126"/>
      <c r="HG952" s="126"/>
      <c r="HH952" s="126"/>
      <c r="HI952" s="126"/>
      <c r="HJ952" s="126"/>
      <c r="HK952" s="126"/>
      <c r="HL952" s="126"/>
      <c r="HM952" s="126"/>
      <c r="HN952" s="126"/>
      <c r="HO952" s="126"/>
      <c r="HP952" s="126"/>
      <c r="HQ952" s="126"/>
      <c r="HR952" s="126"/>
      <c r="HS952" s="126"/>
      <c r="HT952" s="126"/>
      <c r="HU952" s="126"/>
      <c r="HV952" s="126"/>
      <c r="HW952" s="126"/>
      <c r="HX952" s="126"/>
      <c r="HY952" s="126"/>
      <c r="HZ952" s="126"/>
      <c r="IA952" s="126"/>
      <c r="IB952" s="126"/>
      <c r="IC952" s="126"/>
      <c r="ID952" s="126"/>
      <c r="IE952" s="126"/>
      <c r="IF952" s="126"/>
      <c r="IG952" s="126"/>
      <c r="IH952" s="126"/>
      <c r="II952" s="126"/>
      <c r="IJ952" s="126"/>
      <c r="IK952" s="126"/>
      <c r="IL952" s="126"/>
      <c r="IM952" s="126"/>
      <c r="IN952" s="126"/>
      <c r="IO952" s="126"/>
      <c r="IP952" s="126"/>
      <c r="IQ952" s="126"/>
      <c r="IR952" s="126"/>
      <c r="IS952" s="126"/>
      <c r="IT952" s="126"/>
    </row>
    <row r="953" spans="1:254" s="134" customForma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  <c r="AI953" s="126"/>
      <c r="AJ953" s="126"/>
      <c r="AK953" s="126"/>
      <c r="AL953" s="126"/>
      <c r="AM953" s="126"/>
      <c r="AN953" s="126"/>
      <c r="AO953" s="126"/>
      <c r="AP953" s="126"/>
      <c r="AQ953" s="126"/>
      <c r="AR953" s="126"/>
      <c r="AS953" s="126"/>
      <c r="AT953" s="126"/>
      <c r="AU953" s="126"/>
      <c r="AV953" s="126"/>
      <c r="AW953" s="126"/>
      <c r="AX953" s="126"/>
      <c r="AY953" s="126"/>
      <c r="AZ953" s="126"/>
      <c r="BA953" s="126"/>
      <c r="BB953" s="126"/>
      <c r="BC953" s="126"/>
      <c r="BD953" s="126"/>
      <c r="BE953" s="126"/>
      <c r="BF953" s="126"/>
      <c r="BG953" s="126"/>
      <c r="BH953" s="126"/>
      <c r="BI953" s="126"/>
      <c r="BJ953" s="126"/>
      <c r="BK953" s="126"/>
      <c r="BL953" s="126"/>
      <c r="BM953" s="126"/>
      <c r="BN953" s="126"/>
      <c r="BO953" s="126"/>
      <c r="BP953" s="126"/>
      <c r="BQ953" s="126"/>
      <c r="BR953" s="126"/>
      <c r="BS953" s="126"/>
      <c r="BT953" s="126"/>
      <c r="BU953" s="126"/>
      <c r="BV953" s="126"/>
      <c r="BW953" s="126"/>
      <c r="BX953" s="126"/>
      <c r="BY953" s="126"/>
      <c r="BZ953" s="126"/>
      <c r="CA953" s="126"/>
      <c r="CB953" s="126"/>
      <c r="CC953" s="126"/>
      <c r="CD953" s="126"/>
      <c r="CE953" s="126"/>
      <c r="CF953" s="126"/>
      <c r="CG953" s="126"/>
      <c r="CH953" s="126"/>
      <c r="CI953" s="126"/>
      <c r="CJ953" s="126"/>
      <c r="CK953" s="126"/>
      <c r="CL953" s="126"/>
      <c r="CM953" s="126"/>
      <c r="CN953" s="126"/>
      <c r="CO953" s="126"/>
      <c r="CP953" s="126"/>
      <c r="CQ953" s="126"/>
      <c r="CR953" s="126"/>
      <c r="CS953" s="126"/>
      <c r="CT953" s="126"/>
      <c r="CU953" s="126"/>
      <c r="CV953" s="126"/>
      <c r="CW953" s="126"/>
      <c r="CX953" s="126"/>
      <c r="CY953" s="126"/>
      <c r="CZ953" s="126"/>
      <c r="DA953" s="126"/>
      <c r="DB953" s="126"/>
      <c r="DC953" s="126"/>
      <c r="DD953" s="126"/>
      <c r="DE953" s="126"/>
      <c r="DF953" s="126"/>
      <c r="DG953" s="126"/>
      <c r="DH953" s="126"/>
      <c r="DI953" s="126"/>
      <c r="DJ953" s="126"/>
      <c r="DK953" s="126"/>
      <c r="DL953" s="126"/>
      <c r="DM953" s="126"/>
      <c r="DN953" s="126"/>
      <c r="DO953" s="126"/>
      <c r="DP953" s="126"/>
      <c r="DQ953" s="126"/>
      <c r="DR953" s="126"/>
      <c r="DS953" s="126"/>
      <c r="DT953" s="126"/>
      <c r="DU953" s="126"/>
      <c r="DV953" s="126"/>
      <c r="DW953" s="126"/>
      <c r="DX953" s="126"/>
      <c r="DY953" s="126"/>
      <c r="DZ953" s="126"/>
      <c r="EA953" s="126"/>
      <c r="EB953" s="126"/>
      <c r="EC953" s="126"/>
      <c r="ED953" s="126"/>
      <c r="EE953" s="126"/>
      <c r="EF953" s="126"/>
      <c r="EG953" s="126"/>
      <c r="EH953" s="126"/>
      <c r="EI953" s="126"/>
      <c r="EJ953" s="126"/>
      <c r="EK953" s="126"/>
      <c r="EL953" s="126"/>
      <c r="EM953" s="126"/>
      <c r="EN953" s="126"/>
      <c r="EO953" s="126"/>
      <c r="EP953" s="126"/>
      <c r="EQ953" s="126"/>
      <c r="ER953" s="126"/>
      <c r="ES953" s="126"/>
      <c r="ET953" s="126"/>
      <c r="EU953" s="126"/>
      <c r="EV953" s="126"/>
      <c r="EW953" s="126"/>
      <c r="EX953" s="126"/>
      <c r="EY953" s="126"/>
      <c r="EZ953" s="126"/>
      <c r="FA953" s="126"/>
      <c r="FB953" s="126"/>
      <c r="FC953" s="126"/>
      <c r="FD953" s="126"/>
      <c r="FE953" s="126"/>
      <c r="FF953" s="126"/>
      <c r="FG953" s="126"/>
      <c r="FH953" s="126"/>
      <c r="FI953" s="126"/>
      <c r="FJ953" s="126"/>
      <c r="FK953" s="126"/>
      <c r="FL953" s="126"/>
      <c r="FM953" s="126"/>
      <c r="FN953" s="126"/>
      <c r="FO953" s="126"/>
      <c r="FP953" s="126"/>
      <c r="FQ953" s="126"/>
      <c r="FR953" s="126"/>
      <c r="FS953" s="126"/>
      <c r="FT953" s="126"/>
      <c r="FU953" s="126"/>
      <c r="FV953" s="126"/>
      <c r="FW953" s="126"/>
      <c r="FX953" s="126"/>
      <c r="FY953" s="126"/>
      <c r="FZ953" s="126"/>
      <c r="GA953" s="126"/>
      <c r="GB953" s="126"/>
      <c r="GC953" s="126"/>
      <c r="GD953" s="126"/>
      <c r="GE953" s="126"/>
      <c r="GF953" s="126"/>
      <c r="GG953" s="126"/>
      <c r="GH953" s="126"/>
      <c r="GI953" s="126"/>
      <c r="GJ953" s="126"/>
      <c r="GK953" s="126"/>
      <c r="GL953" s="126"/>
      <c r="GM953" s="126"/>
      <c r="GN953" s="126"/>
      <c r="GO953" s="126"/>
      <c r="GP953" s="126"/>
      <c r="GQ953" s="126"/>
      <c r="GR953" s="126"/>
      <c r="GS953" s="126"/>
      <c r="GT953" s="126"/>
      <c r="GU953" s="126"/>
      <c r="GV953" s="126"/>
      <c r="GW953" s="126"/>
      <c r="GX953" s="126"/>
      <c r="GY953" s="126"/>
      <c r="GZ953" s="126"/>
      <c r="HA953" s="126"/>
      <c r="HB953" s="126"/>
      <c r="HC953" s="126"/>
      <c r="HD953" s="126"/>
      <c r="HE953" s="126"/>
      <c r="HF953" s="126"/>
      <c r="HG953" s="126"/>
      <c r="HH953" s="126"/>
      <c r="HI953" s="126"/>
      <c r="HJ953" s="126"/>
      <c r="HK953" s="126"/>
      <c r="HL953" s="126"/>
      <c r="HM953" s="126"/>
      <c r="HN953" s="126"/>
      <c r="HO953" s="126"/>
      <c r="HP953" s="126"/>
      <c r="HQ953" s="126"/>
      <c r="HR953" s="126"/>
      <c r="HS953" s="126"/>
      <c r="HT953" s="126"/>
      <c r="HU953" s="126"/>
      <c r="HV953" s="126"/>
      <c r="HW953" s="126"/>
      <c r="HX953" s="126"/>
      <c r="HY953" s="126"/>
      <c r="HZ953" s="126"/>
      <c r="IA953" s="126"/>
      <c r="IB953" s="126"/>
      <c r="IC953" s="126"/>
      <c r="ID953" s="126"/>
      <c r="IE953" s="126"/>
      <c r="IF953" s="126"/>
      <c r="IG953" s="126"/>
      <c r="IH953" s="126"/>
      <c r="II953" s="126"/>
      <c r="IJ953" s="126"/>
      <c r="IK953" s="126"/>
      <c r="IL953" s="126"/>
      <c r="IM953" s="126"/>
      <c r="IN953" s="126"/>
      <c r="IO953" s="126"/>
      <c r="IP953" s="126"/>
      <c r="IQ953" s="126"/>
      <c r="IR953" s="126"/>
      <c r="IS953" s="126"/>
      <c r="IT953" s="126"/>
    </row>
    <row r="954" spans="1:254" s="134" customForma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  <c r="AI954" s="126"/>
      <c r="AJ954" s="126"/>
      <c r="AK954" s="126"/>
      <c r="AL954" s="126"/>
      <c r="AM954" s="126"/>
      <c r="AN954" s="126"/>
      <c r="AO954" s="126"/>
      <c r="AP954" s="126"/>
      <c r="AQ954" s="126"/>
      <c r="AR954" s="126"/>
      <c r="AS954" s="126"/>
      <c r="AT954" s="126"/>
      <c r="AU954" s="126"/>
      <c r="AV954" s="126"/>
      <c r="AW954" s="126"/>
      <c r="AX954" s="126"/>
      <c r="AY954" s="126"/>
      <c r="AZ954" s="126"/>
      <c r="BA954" s="126"/>
      <c r="BB954" s="126"/>
      <c r="BC954" s="126"/>
      <c r="BD954" s="126"/>
      <c r="BE954" s="126"/>
      <c r="BF954" s="126"/>
      <c r="BG954" s="126"/>
      <c r="BH954" s="126"/>
      <c r="BI954" s="126"/>
      <c r="BJ954" s="126"/>
      <c r="BK954" s="126"/>
      <c r="BL954" s="126"/>
      <c r="BM954" s="126"/>
      <c r="BN954" s="126"/>
      <c r="BO954" s="126"/>
      <c r="BP954" s="126"/>
      <c r="BQ954" s="126"/>
      <c r="BR954" s="126"/>
      <c r="BS954" s="126"/>
      <c r="BT954" s="126"/>
      <c r="BU954" s="126"/>
      <c r="BV954" s="126"/>
      <c r="BW954" s="126"/>
      <c r="BX954" s="126"/>
      <c r="BY954" s="126"/>
      <c r="BZ954" s="126"/>
      <c r="CA954" s="126"/>
      <c r="CB954" s="126"/>
      <c r="CC954" s="126"/>
      <c r="CD954" s="126"/>
      <c r="CE954" s="126"/>
      <c r="CF954" s="126"/>
      <c r="CG954" s="126"/>
      <c r="CH954" s="126"/>
      <c r="CI954" s="126"/>
      <c r="CJ954" s="126"/>
      <c r="CK954" s="126"/>
      <c r="CL954" s="126"/>
      <c r="CM954" s="126"/>
      <c r="CN954" s="126"/>
      <c r="CO954" s="126"/>
      <c r="CP954" s="126"/>
      <c r="CQ954" s="126"/>
      <c r="CR954" s="126"/>
      <c r="CS954" s="126"/>
      <c r="CT954" s="126"/>
      <c r="CU954" s="126"/>
      <c r="CV954" s="126"/>
      <c r="CW954" s="126"/>
      <c r="CX954" s="126"/>
      <c r="CY954" s="126"/>
      <c r="CZ954" s="126"/>
      <c r="DA954" s="126"/>
      <c r="DB954" s="126"/>
      <c r="DC954" s="126"/>
      <c r="DD954" s="126"/>
      <c r="DE954" s="126"/>
      <c r="DF954" s="126"/>
      <c r="DG954" s="126"/>
      <c r="DH954" s="126"/>
      <c r="DI954" s="126"/>
      <c r="DJ954" s="126"/>
      <c r="DK954" s="126"/>
      <c r="DL954" s="126"/>
      <c r="DM954" s="126"/>
      <c r="DN954" s="126"/>
      <c r="DO954" s="126"/>
      <c r="DP954" s="126"/>
      <c r="DQ954" s="126"/>
      <c r="DR954" s="126"/>
      <c r="DS954" s="126"/>
      <c r="DT954" s="126"/>
      <c r="DU954" s="126"/>
      <c r="DV954" s="126"/>
      <c r="DW954" s="126"/>
      <c r="DX954" s="126"/>
      <c r="DY954" s="126"/>
      <c r="DZ954" s="126"/>
      <c r="EA954" s="126"/>
      <c r="EB954" s="126"/>
      <c r="EC954" s="126"/>
      <c r="ED954" s="126"/>
      <c r="EE954" s="126"/>
      <c r="EF954" s="126"/>
      <c r="EG954" s="126"/>
      <c r="EH954" s="126"/>
      <c r="EI954" s="126"/>
      <c r="EJ954" s="126"/>
      <c r="EK954" s="126"/>
      <c r="EL954" s="126"/>
      <c r="EM954" s="126"/>
      <c r="EN954" s="126"/>
      <c r="EO954" s="126"/>
      <c r="EP954" s="126"/>
      <c r="EQ954" s="126"/>
      <c r="ER954" s="126"/>
      <c r="ES954" s="126"/>
      <c r="ET954" s="126"/>
      <c r="EU954" s="126"/>
      <c r="EV954" s="126"/>
      <c r="EW954" s="126"/>
      <c r="EX954" s="126"/>
      <c r="EY954" s="126"/>
      <c r="EZ954" s="126"/>
      <c r="FA954" s="126"/>
      <c r="FB954" s="126"/>
      <c r="FC954" s="126"/>
      <c r="FD954" s="126"/>
      <c r="FE954" s="126"/>
      <c r="FF954" s="126"/>
      <c r="FG954" s="126"/>
      <c r="FH954" s="126"/>
      <c r="FI954" s="126"/>
      <c r="FJ954" s="126"/>
      <c r="FK954" s="126"/>
      <c r="FL954" s="126"/>
      <c r="FM954" s="126"/>
      <c r="FN954" s="126"/>
      <c r="FO954" s="126"/>
      <c r="FP954" s="126"/>
      <c r="FQ954" s="126"/>
      <c r="FR954" s="126"/>
      <c r="FS954" s="126"/>
      <c r="FT954" s="126"/>
      <c r="FU954" s="126"/>
      <c r="FV954" s="126"/>
      <c r="FW954" s="126"/>
      <c r="FX954" s="126"/>
      <c r="FY954" s="126"/>
      <c r="FZ954" s="126"/>
      <c r="GA954" s="126"/>
      <c r="GB954" s="126"/>
      <c r="GC954" s="126"/>
      <c r="GD954" s="126"/>
      <c r="GE954" s="126"/>
      <c r="GF954" s="126"/>
      <c r="GG954" s="126"/>
      <c r="GH954" s="126"/>
      <c r="GI954" s="126"/>
      <c r="GJ954" s="126"/>
      <c r="GK954" s="126"/>
      <c r="GL954" s="126"/>
      <c r="GM954" s="126"/>
      <c r="GN954" s="126"/>
      <c r="GO954" s="126"/>
      <c r="GP954" s="126"/>
      <c r="GQ954" s="126"/>
      <c r="GR954" s="126"/>
      <c r="GS954" s="126"/>
      <c r="GT954" s="126"/>
      <c r="GU954" s="126"/>
      <c r="GV954" s="126"/>
      <c r="GW954" s="126"/>
      <c r="GX954" s="126"/>
      <c r="GY954" s="126"/>
      <c r="GZ954" s="126"/>
      <c r="HA954" s="126"/>
      <c r="HB954" s="126"/>
      <c r="HC954" s="126"/>
      <c r="HD954" s="126"/>
      <c r="HE954" s="126"/>
      <c r="HF954" s="126"/>
      <c r="HG954" s="126"/>
      <c r="HH954" s="126"/>
      <c r="HI954" s="126"/>
      <c r="HJ954" s="126"/>
      <c r="HK954" s="126"/>
      <c r="HL954" s="126"/>
      <c r="HM954" s="126"/>
      <c r="HN954" s="126"/>
      <c r="HO954" s="126"/>
      <c r="HP954" s="126"/>
      <c r="HQ954" s="126"/>
      <c r="HR954" s="126"/>
      <c r="HS954" s="126"/>
      <c r="HT954" s="126"/>
      <c r="HU954" s="126"/>
      <c r="HV954" s="126"/>
      <c r="HW954" s="126"/>
      <c r="HX954" s="126"/>
      <c r="HY954" s="126"/>
      <c r="HZ954" s="126"/>
      <c r="IA954" s="126"/>
      <c r="IB954" s="126"/>
      <c r="IC954" s="126"/>
      <c r="ID954" s="126"/>
      <c r="IE954" s="126"/>
      <c r="IF954" s="126"/>
      <c r="IG954" s="126"/>
      <c r="IH954" s="126"/>
      <c r="II954" s="126"/>
      <c r="IJ954" s="126"/>
      <c r="IK954" s="126"/>
      <c r="IL954" s="126"/>
      <c r="IM954" s="126"/>
      <c r="IN954" s="126"/>
      <c r="IO954" s="126"/>
      <c r="IP954" s="126"/>
      <c r="IQ954" s="126"/>
      <c r="IR954" s="126"/>
      <c r="IS954" s="126"/>
      <c r="IT954" s="126"/>
    </row>
    <row r="955" spans="1:254" s="134" customForma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  <c r="AI955" s="126"/>
      <c r="AJ955" s="126"/>
      <c r="AK955" s="126"/>
      <c r="AL955" s="126"/>
      <c r="AM955" s="126"/>
      <c r="AN955" s="126"/>
      <c r="AO955" s="126"/>
      <c r="AP955" s="126"/>
      <c r="AQ955" s="126"/>
      <c r="AR955" s="126"/>
      <c r="AS955" s="126"/>
      <c r="AT955" s="126"/>
      <c r="AU955" s="126"/>
      <c r="AV955" s="126"/>
      <c r="AW955" s="126"/>
      <c r="AX955" s="126"/>
      <c r="AY955" s="126"/>
      <c r="AZ955" s="126"/>
      <c r="BA955" s="126"/>
      <c r="BB955" s="126"/>
      <c r="BC955" s="126"/>
      <c r="BD955" s="126"/>
      <c r="BE955" s="126"/>
      <c r="BF955" s="126"/>
      <c r="BG955" s="126"/>
      <c r="BH955" s="126"/>
      <c r="BI955" s="126"/>
      <c r="BJ955" s="126"/>
      <c r="BK955" s="126"/>
      <c r="BL955" s="126"/>
      <c r="BM955" s="126"/>
      <c r="BN955" s="126"/>
      <c r="BO955" s="126"/>
      <c r="BP955" s="126"/>
      <c r="BQ955" s="126"/>
      <c r="BR955" s="126"/>
      <c r="BS955" s="126"/>
      <c r="BT955" s="126"/>
      <c r="BU955" s="126"/>
      <c r="BV955" s="126"/>
      <c r="BW955" s="126"/>
      <c r="BX955" s="126"/>
      <c r="BY955" s="126"/>
      <c r="BZ955" s="126"/>
      <c r="CA955" s="126"/>
      <c r="CB955" s="126"/>
      <c r="CC955" s="126"/>
      <c r="CD955" s="126"/>
      <c r="CE955" s="126"/>
      <c r="CF955" s="126"/>
      <c r="CG955" s="126"/>
      <c r="CH955" s="126"/>
      <c r="CI955" s="126"/>
      <c r="CJ955" s="126"/>
      <c r="CK955" s="126"/>
      <c r="CL955" s="126"/>
      <c r="CM955" s="126"/>
      <c r="CN955" s="126"/>
      <c r="CO955" s="126"/>
      <c r="CP955" s="126"/>
      <c r="CQ955" s="126"/>
      <c r="CR955" s="126"/>
      <c r="CS955" s="126"/>
      <c r="CT955" s="126"/>
      <c r="CU955" s="126"/>
      <c r="CV955" s="126"/>
      <c r="CW955" s="126"/>
      <c r="CX955" s="126"/>
      <c r="CY955" s="126"/>
      <c r="CZ955" s="126"/>
      <c r="DA955" s="126"/>
      <c r="DB955" s="126"/>
      <c r="DC955" s="126"/>
      <c r="DD955" s="126"/>
      <c r="DE955" s="126"/>
      <c r="DF955" s="126"/>
      <c r="DG955" s="126"/>
      <c r="DH955" s="126"/>
      <c r="DI955" s="126"/>
      <c r="DJ955" s="126"/>
      <c r="DK955" s="126"/>
      <c r="DL955" s="126"/>
      <c r="DM955" s="126"/>
      <c r="DN955" s="126"/>
      <c r="DO955" s="126"/>
      <c r="DP955" s="126"/>
      <c r="DQ955" s="126"/>
      <c r="DR955" s="126"/>
      <c r="DS955" s="126"/>
      <c r="DT955" s="126"/>
      <c r="DU955" s="126"/>
      <c r="DV955" s="126"/>
      <c r="DW955" s="126"/>
      <c r="DX955" s="126"/>
      <c r="DY955" s="126"/>
      <c r="DZ955" s="126"/>
      <c r="EA955" s="126"/>
      <c r="EB955" s="126"/>
      <c r="EC955" s="126"/>
      <c r="ED955" s="126"/>
      <c r="EE955" s="126"/>
      <c r="EF955" s="126"/>
      <c r="EG955" s="126"/>
      <c r="EH955" s="126"/>
      <c r="EI955" s="126"/>
      <c r="EJ955" s="126"/>
      <c r="EK955" s="126"/>
      <c r="EL955" s="126"/>
      <c r="EM955" s="126"/>
      <c r="EN955" s="126"/>
      <c r="EO955" s="126"/>
      <c r="EP955" s="126"/>
      <c r="EQ955" s="126"/>
      <c r="ER955" s="126"/>
      <c r="ES955" s="126"/>
      <c r="ET955" s="126"/>
      <c r="EU955" s="126"/>
      <c r="EV955" s="126"/>
      <c r="EW955" s="126"/>
      <c r="EX955" s="126"/>
      <c r="EY955" s="126"/>
      <c r="EZ955" s="126"/>
      <c r="FA955" s="126"/>
      <c r="FB955" s="126"/>
      <c r="FC955" s="126"/>
      <c r="FD955" s="126"/>
      <c r="FE955" s="126"/>
      <c r="FF955" s="126"/>
      <c r="FG955" s="126"/>
      <c r="FH955" s="126"/>
      <c r="FI955" s="126"/>
      <c r="FJ955" s="126"/>
      <c r="FK955" s="126"/>
      <c r="FL955" s="126"/>
      <c r="FM955" s="126"/>
      <c r="FN955" s="126"/>
      <c r="FO955" s="126"/>
      <c r="FP955" s="126"/>
      <c r="FQ955" s="126"/>
      <c r="FR955" s="126"/>
      <c r="FS955" s="126"/>
      <c r="FT955" s="126"/>
      <c r="FU955" s="126"/>
      <c r="FV955" s="126"/>
      <c r="FW955" s="126"/>
      <c r="FX955" s="126"/>
      <c r="FY955" s="126"/>
      <c r="FZ955" s="126"/>
      <c r="GA955" s="126"/>
      <c r="GB955" s="126"/>
      <c r="GC955" s="126"/>
      <c r="GD955" s="126"/>
      <c r="GE955" s="126"/>
      <c r="GF955" s="126"/>
      <c r="GG955" s="126"/>
      <c r="GH955" s="126"/>
      <c r="GI955" s="126"/>
      <c r="GJ955" s="126"/>
      <c r="GK955" s="126"/>
      <c r="GL955" s="126"/>
      <c r="GM955" s="126"/>
      <c r="GN955" s="126"/>
      <c r="GO955" s="126"/>
      <c r="GP955" s="126"/>
      <c r="GQ955" s="126"/>
      <c r="GR955" s="126"/>
      <c r="GS955" s="126"/>
      <c r="GT955" s="126"/>
      <c r="GU955" s="126"/>
      <c r="GV955" s="126"/>
      <c r="GW955" s="126"/>
      <c r="GX955" s="126"/>
      <c r="GY955" s="126"/>
      <c r="GZ955" s="126"/>
      <c r="HA955" s="126"/>
      <c r="HB955" s="126"/>
      <c r="HC955" s="126"/>
      <c r="HD955" s="126"/>
      <c r="HE955" s="126"/>
      <c r="HF955" s="126"/>
      <c r="HG955" s="126"/>
      <c r="HH955" s="126"/>
      <c r="HI955" s="126"/>
      <c r="HJ955" s="126"/>
      <c r="HK955" s="126"/>
      <c r="HL955" s="126"/>
      <c r="HM955" s="126"/>
      <c r="HN955" s="126"/>
      <c r="HO955" s="126"/>
      <c r="HP955" s="126"/>
      <c r="HQ955" s="126"/>
      <c r="HR955" s="126"/>
      <c r="HS955" s="126"/>
      <c r="HT955" s="126"/>
      <c r="HU955" s="126"/>
      <c r="HV955" s="126"/>
      <c r="HW955" s="126"/>
      <c r="HX955" s="126"/>
      <c r="HY955" s="126"/>
      <c r="HZ955" s="126"/>
      <c r="IA955" s="126"/>
      <c r="IB955" s="126"/>
      <c r="IC955" s="126"/>
      <c r="ID955" s="126"/>
      <c r="IE955" s="126"/>
      <c r="IF955" s="126"/>
      <c r="IG955" s="126"/>
      <c r="IH955" s="126"/>
      <c r="II955" s="126"/>
      <c r="IJ955" s="126"/>
      <c r="IK955" s="126"/>
      <c r="IL955" s="126"/>
      <c r="IM955" s="126"/>
      <c r="IN955" s="126"/>
      <c r="IO955" s="126"/>
      <c r="IP955" s="126"/>
      <c r="IQ955" s="126"/>
      <c r="IR955" s="126"/>
      <c r="IS955" s="126"/>
      <c r="IT955" s="126"/>
    </row>
    <row r="956" spans="1:254" s="134" customForma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  <c r="AI956" s="126"/>
      <c r="AJ956" s="126"/>
      <c r="AK956" s="126"/>
      <c r="AL956" s="126"/>
      <c r="AM956" s="126"/>
      <c r="AN956" s="126"/>
      <c r="AO956" s="126"/>
      <c r="AP956" s="126"/>
      <c r="AQ956" s="126"/>
      <c r="AR956" s="126"/>
      <c r="AS956" s="126"/>
      <c r="AT956" s="126"/>
      <c r="AU956" s="126"/>
      <c r="AV956" s="126"/>
      <c r="AW956" s="126"/>
      <c r="AX956" s="126"/>
      <c r="AY956" s="126"/>
      <c r="AZ956" s="126"/>
      <c r="BA956" s="126"/>
      <c r="BB956" s="126"/>
      <c r="BC956" s="126"/>
      <c r="BD956" s="126"/>
      <c r="BE956" s="126"/>
      <c r="BF956" s="126"/>
      <c r="BG956" s="126"/>
      <c r="BH956" s="126"/>
      <c r="BI956" s="126"/>
      <c r="BJ956" s="126"/>
      <c r="BK956" s="126"/>
      <c r="BL956" s="126"/>
      <c r="BM956" s="126"/>
      <c r="BN956" s="126"/>
      <c r="BO956" s="126"/>
      <c r="BP956" s="126"/>
      <c r="BQ956" s="126"/>
      <c r="BR956" s="126"/>
      <c r="BS956" s="126"/>
      <c r="BT956" s="126"/>
      <c r="BU956" s="126"/>
      <c r="BV956" s="126"/>
      <c r="BW956" s="126"/>
      <c r="BX956" s="126"/>
      <c r="BY956" s="126"/>
      <c r="BZ956" s="126"/>
      <c r="CA956" s="126"/>
      <c r="CB956" s="126"/>
      <c r="CC956" s="126"/>
      <c r="CD956" s="126"/>
      <c r="CE956" s="126"/>
      <c r="CF956" s="126"/>
      <c r="CG956" s="126"/>
      <c r="CH956" s="126"/>
      <c r="CI956" s="126"/>
      <c r="CJ956" s="126"/>
      <c r="CK956" s="126"/>
      <c r="CL956" s="126"/>
      <c r="CM956" s="126"/>
      <c r="CN956" s="126"/>
      <c r="CO956" s="126"/>
      <c r="CP956" s="126"/>
      <c r="CQ956" s="126"/>
      <c r="CR956" s="126"/>
      <c r="CS956" s="126"/>
      <c r="CT956" s="126"/>
      <c r="CU956" s="126"/>
      <c r="CV956" s="126"/>
      <c r="CW956" s="126"/>
      <c r="CX956" s="126"/>
      <c r="CY956" s="126"/>
      <c r="CZ956" s="126"/>
      <c r="DA956" s="126"/>
      <c r="DB956" s="126"/>
      <c r="DC956" s="126"/>
      <c r="DD956" s="126"/>
      <c r="DE956" s="126"/>
      <c r="DF956" s="126"/>
      <c r="DG956" s="126"/>
      <c r="DH956" s="126"/>
      <c r="DI956" s="126"/>
      <c r="DJ956" s="126"/>
      <c r="DK956" s="126"/>
      <c r="DL956" s="126"/>
      <c r="DM956" s="126"/>
      <c r="DN956" s="126"/>
      <c r="DO956" s="126"/>
      <c r="DP956" s="126"/>
      <c r="DQ956" s="126"/>
      <c r="DR956" s="126"/>
      <c r="DS956" s="126"/>
      <c r="DT956" s="126"/>
      <c r="DU956" s="126"/>
      <c r="DV956" s="126"/>
      <c r="DW956" s="126"/>
      <c r="DX956" s="126"/>
      <c r="DY956" s="126"/>
      <c r="DZ956" s="126"/>
      <c r="EA956" s="126"/>
      <c r="EB956" s="126"/>
      <c r="EC956" s="126"/>
      <c r="ED956" s="126"/>
      <c r="EE956" s="126"/>
      <c r="EF956" s="126"/>
      <c r="EG956" s="126"/>
      <c r="EH956" s="126"/>
      <c r="EI956" s="126"/>
      <c r="EJ956" s="126"/>
      <c r="EK956" s="126"/>
      <c r="EL956" s="126"/>
      <c r="EM956" s="126"/>
      <c r="EN956" s="126"/>
      <c r="EO956" s="126"/>
      <c r="EP956" s="126"/>
      <c r="EQ956" s="126"/>
      <c r="ER956" s="126"/>
      <c r="ES956" s="126"/>
      <c r="ET956" s="126"/>
      <c r="EU956" s="126"/>
      <c r="EV956" s="126"/>
      <c r="EW956" s="126"/>
      <c r="EX956" s="126"/>
      <c r="EY956" s="126"/>
      <c r="EZ956" s="126"/>
      <c r="FA956" s="126"/>
      <c r="FB956" s="126"/>
      <c r="FC956" s="126"/>
      <c r="FD956" s="126"/>
      <c r="FE956" s="126"/>
      <c r="FF956" s="126"/>
      <c r="FG956" s="126"/>
      <c r="FH956" s="126"/>
      <c r="FI956" s="126"/>
      <c r="FJ956" s="126"/>
      <c r="FK956" s="126"/>
      <c r="FL956" s="126"/>
      <c r="FM956" s="126"/>
      <c r="FN956" s="126"/>
      <c r="FO956" s="126"/>
      <c r="FP956" s="126"/>
      <c r="FQ956" s="126"/>
      <c r="FR956" s="126"/>
      <c r="FS956" s="126"/>
      <c r="FT956" s="126"/>
      <c r="FU956" s="126"/>
      <c r="FV956" s="126"/>
      <c r="FW956" s="126"/>
      <c r="FX956" s="126"/>
      <c r="FY956" s="126"/>
      <c r="FZ956" s="126"/>
      <c r="GA956" s="126"/>
      <c r="GB956" s="126"/>
      <c r="GC956" s="126"/>
      <c r="GD956" s="126"/>
      <c r="GE956" s="126"/>
      <c r="GF956" s="126"/>
      <c r="GG956" s="126"/>
      <c r="GH956" s="126"/>
      <c r="GI956" s="126"/>
      <c r="GJ956" s="126"/>
      <c r="GK956" s="126"/>
      <c r="GL956" s="126"/>
      <c r="GM956" s="126"/>
      <c r="GN956" s="126"/>
      <c r="GO956" s="126"/>
      <c r="GP956" s="126"/>
      <c r="GQ956" s="126"/>
      <c r="GR956" s="126"/>
      <c r="GS956" s="126"/>
      <c r="GT956" s="126"/>
      <c r="GU956" s="126"/>
      <c r="GV956" s="126"/>
      <c r="GW956" s="126"/>
      <c r="GX956" s="126"/>
      <c r="GY956" s="126"/>
      <c r="GZ956" s="126"/>
      <c r="HA956" s="126"/>
      <c r="HB956" s="126"/>
      <c r="HC956" s="126"/>
      <c r="HD956" s="126"/>
      <c r="HE956" s="126"/>
      <c r="HF956" s="126"/>
      <c r="HG956" s="126"/>
      <c r="HH956" s="126"/>
      <c r="HI956" s="126"/>
      <c r="HJ956" s="126"/>
      <c r="HK956" s="126"/>
      <c r="HL956" s="126"/>
      <c r="HM956" s="126"/>
      <c r="HN956" s="126"/>
      <c r="HO956" s="126"/>
      <c r="HP956" s="126"/>
      <c r="HQ956" s="126"/>
      <c r="HR956" s="126"/>
      <c r="HS956" s="126"/>
      <c r="HT956" s="126"/>
      <c r="HU956" s="126"/>
      <c r="HV956" s="126"/>
      <c r="HW956" s="126"/>
      <c r="HX956" s="126"/>
      <c r="HY956" s="126"/>
      <c r="HZ956" s="126"/>
      <c r="IA956" s="126"/>
      <c r="IB956" s="126"/>
      <c r="IC956" s="126"/>
      <c r="ID956" s="126"/>
      <c r="IE956" s="126"/>
      <c r="IF956" s="126"/>
      <c r="IG956" s="126"/>
      <c r="IH956" s="126"/>
      <c r="II956" s="126"/>
      <c r="IJ956" s="126"/>
      <c r="IK956" s="126"/>
      <c r="IL956" s="126"/>
      <c r="IM956" s="126"/>
      <c r="IN956" s="126"/>
      <c r="IO956" s="126"/>
      <c r="IP956" s="126"/>
      <c r="IQ956" s="126"/>
      <c r="IR956" s="126"/>
      <c r="IS956" s="126"/>
      <c r="IT956" s="126"/>
    </row>
    <row r="957" spans="1:254" s="134" customForma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  <c r="AH957" s="126"/>
      <c r="AI957" s="126"/>
      <c r="AJ957" s="126"/>
      <c r="AK957" s="126"/>
      <c r="AL957" s="126"/>
      <c r="AM957" s="126"/>
      <c r="AN957" s="126"/>
      <c r="AO957" s="126"/>
      <c r="AP957" s="126"/>
      <c r="AQ957" s="126"/>
      <c r="AR957" s="126"/>
      <c r="AS957" s="126"/>
      <c r="AT957" s="126"/>
      <c r="AU957" s="126"/>
      <c r="AV957" s="126"/>
      <c r="AW957" s="126"/>
      <c r="AX957" s="126"/>
      <c r="AY957" s="126"/>
      <c r="AZ957" s="126"/>
      <c r="BA957" s="126"/>
      <c r="BB957" s="126"/>
      <c r="BC957" s="126"/>
      <c r="BD957" s="126"/>
      <c r="BE957" s="126"/>
      <c r="BF957" s="126"/>
      <c r="BG957" s="126"/>
      <c r="BH957" s="126"/>
      <c r="BI957" s="126"/>
      <c r="BJ957" s="126"/>
      <c r="BK957" s="126"/>
      <c r="BL957" s="126"/>
      <c r="BM957" s="126"/>
      <c r="BN957" s="126"/>
      <c r="BO957" s="126"/>
      <c r="BP957" s="126"/>
      <c r="BQ957" s="126"/>
      <c r="BR957" s="126"/>
      <c r="BS957" s="126"/>
      <c r="BT957" s="126"/>
      <c r="BU957" s="126"/>
      <c r="BV957" s="126"/>
      <c r="BW957" s="126"/>
      <c r="BX957" s="126"/>
      <c r="BY957" s="126"/>
      <c r="BZ957" s="126"/>
      <c r="CA957" s="126"/>
      <c r="CB957" s="126"/>
      <c r="CC957" s="126"/>
      <c r="CD957" s="126"/>
      <c r="CE957" s="126"/>
      <c r="CF957" s="126"/>
      <c r="CG957" s="126"/>
      <c r="CH957" s="126"/>
      <c r="CI957" s="126"/>
      <c r="CJ957" s="126"/>
      <c r="CK957" s="126"/>
      <c r="CL957" s="126"/>
      <c r="CM957" s="126"/>
      <c r="CN957" s="126"/>
      <c r="CO957" s="126"/>
      <c r="CP957" s="126"/>
      <c r="CQ957" s="126"/>
      <c r="CR957" s="126"/>
      <c r="CS957" s="126"/>
      <c r="CT957" s="126"/>
      <c r="CU957" s="126"/>
      <c r="CV957" s="126"/>
      <c r="CW957" s="126"/>
      <c r="CX957" s="126"/>
      <c r="CY957" s="126"/>
      <c r="CZ957" s="126"/>
      <c r="DA957" s="126"/>
      <c r="DB957" s="126"/>
      <c r="DC957" s="126"/>
      <c r="DD957" s="126"/>
      <c r="DE957" s="126"/>
      <c r="DF957" s="126"/>
      <c r="DG957" s="126"/>
      <c r="DH957" s="126"/>
      <c r="DI957" s="126"/>
      <c r="DJ957" s="126"/>
      <c r="DK957" s="126"/>
      <c r="DL957" s="126"/>
      <c r="DM957" s="126"/>
      <c r="DN957" s="126"/>
      <c r="DO957" s="126"/>
      <c r="DP957" s="126"/>
      <c r="DQ957" s="126"/>
      <c r="DR957" s="126"/>
      <c r="DS957" s="126"/>
      <c r="DT957" s="126"/>
      <c r="DU957" s="126"/>
      <c r="DV957" s="126"/>
      <c r="DW957" s="126"/>
      <c r="DX957" s="126"/>
      <c r="DY957" s="126"/>
      <c r="DZ957" s="126"/>
      <c r="EA957" s="126"/>
      <c r="EB957" s="126"/>
      <c r="EC957" s="126"/>
      <c r="ED957" s="126"/>
      <c r="EE957" s="126"/>
      <c r="EF957" s="126"/>
      <c r="EG957" s="126"/>
      <c r="EH957" s="126"/>
      <c r="EI957" s="126"/>
      <c r="EJ957" s="126"/>
      <c r="EK957" s="126"/>
      <c r="EL957" s="126"/>
      <c r="EM957" s="126"/>
      <c r="EN957" s="126"/>
      <c r="EO957" s="126"/>
      <c r="EP957" s="126"/>
      <c r="EQ957" s="126"/>
      <c r="ER957" s="126"/>
      <c r="ES957" s="126"/>
      <c r="ET957" s="126"/>
      <c r="EU957" s="126"/>
      <c r="EV957" s="126"/>
      <c r="EW957" s="126"/>
      <c r="EX957" s="126"/>
      <c r="EY957" s="126"/>
      <c r="EZ957" s="126"/>
      <c r="FA957" s="126"/>
      <c r="FB957" s="126"/>
      <c r="FC957" s="126"/>
      <c r="FD957" s="126"/>
      <c r="FE957" s="126"/>
      <c r="FF957" s="126"/>
      <c r="FG957" s="126"/>
      <c r="FH957" s="126"/>
      <c r="FI957" s="126"/>
      <c r="FJ957" s="126"/>
      <c r="FK957" s="126"/>
      <c r="FL957" s="126"/>
      <c r="FM957" s="126"/>
      <c r="FN957" s="126"/>
      <c r="FO957" s="126"/>
      <c r="FP957" s="126"/>
      <c r="FQ957" s="126"/>
      <c r="FR957" s="126"/>
      <c r="FS957" s="126"/>
      <c r="FT957" s="126"/>
      <c r="FU957" s="126"/>
      <c r="FV957" s="126"/>
      <c r="FW957" s="126"/>
      <c r="FX957" s="126"/>
      <c r="FY957" s="126"/>
      <c r="FZ957" s="126"/>
      <c r="GA957" s="126"/>
      <c r="GB957" s="126"/>
      <c r="GC957" s="126"/>
      <c r="GD957" s="126"/>
      <c r="GE957" s="126"/>
      <c r="GF957" s="126"/>
      <c r="GG957" s="126"/>
      <c r="GH957" s="126"/>
      <c r="GI957" s="126"/>
      <c r="GJ957" s="126"/>
      <c r="GK957" s="126"/>
      <c r="GL957" s="126"/>
      <c r="GM957" s="126"/>
      <c r="GN957" s="126"/>
      <c r="GO957" s="126"/>
      <c r="GP957" s="126"/>
      <c r="GQ957" s="126"/>
      <c r="GR957" s="126"/>
      <c r="GS957" s="126"/>
      <c r="GT957" s="126"/>
      <c r="GU957" s="126"/>
      <c r="GV957" s="126"/>
      <c r="GW957" s="126"/>
      <c r="GX957" s="126"/>
      <c r="GY957" s="126"/>
      <c r="GZ957" s="126"/>
      <c r="HA957" s="126"/>
      <c r="HB957" s="126"/>
      <c r="HC957" s="126"/>
      <c r="HD957" s="126"/>
      <c r="HE957" s="126"/>
      <c r="HF957" s="126"/>
      <c r="HG957" s="126"/>
      <c r="HH957" s="126"/>
      <c r="HI957" s="126"/>
      <c r="HJ957" s="126"/>
      <c r="HK957" s="126"/>
      <c r="HL957" s="126"/>
      <c r="HM957" s="126"/>
      <c r="HN957" s="126"/>
      <c r="HO957" s="126"/>
      <c r="HP957" s="126"/>
      <c r="HQ957" s="126"/>
      <c r="HR957" s="126"/>
      <c r="HS957" s="126"/>
      <c r="HT957" s="126"/>
      <c r="HU957" s="126"/>
      <c r="HV957" s="126"/>
      <c r="HW957" s="126"/>
      <c r="HX957" s="126"/>
      <c r="HY957" s="126"/>
      <c r="HZ957" s="126"/>
      <c r="IA957" s="126"/>
      <c r="IB957" s="126"/>
      <c r="IC957" s="126"/>
      <c r="ID957" s="126"/>
      <c r="IE957" s="126"/>
      <c r="IF957" s="126"/>
      <c r="IG957" s="126"/>
      <c r="IH957" s="126"/>
      <c r="II957" s="126"/>
      <c r="IJ957" s="126"/>
      <c r="IK957" s="126"/>
      <c r="IL957" s="126"/>
      <c r="IM957" s="126"/>
      <c r="IN957" s="126"/>
      <c r="IO957" s="126"/>
      <c r="IP957" s="126"/>
      <c r="IQ957" s="126"/>
      <c r="IR957" s="126"/>
      <c r="IS957" s="126"/>
      <c r="IT957" s="126"/>
    </row>
    <row r="958" spans="1:254" s="134" customForma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  <c r="AH958" s="126"/>
      <c r="AI958" s="126"/>
      <c r="AJ958" s="126"/>
      <c r="AK958" s="126"/>
      <c r="AL958" s="126"/>
      <c r="AM958" s="126"/>
      <c r="AN958" s="126"/>
      <c r="AO958" s="126"/>
      <c r="AP958" s="126"/>
      <c r="AQ958" s="126"/>
      <c r="AR958" s="126"/>
      <c r="AS958" s="126"/>
      <c r="AT958" s="126"/>
      <c r="AU958" s="126"/>
      <c r="AV958" s="126"/>
      <c r="AW958" s="126"/>
      <c r="AX958" s="126"/>
      <c r="AY958" s="126"/>
      <c r="AZ958" s="126"/>
      <c r="BA958" s="126"/>
      <c r="BB958" s="126"/>
      <c r="BC958" s="126"/>
      <c r="BD958" s="126"/>
      <c r="BE958" s="126"/>
      <c r="BF958" s="126"/>
      <c r="BG958" s="126"/>
      <c r="BH958" s="126"/>
      <c r="BI958" s="126"/>
      <c r="BJ958" s="126"/>
      <c r="BK958" s="126"/>
      <c r="BL958" s="126"/>
      <c r="BM958" s="126"/>
      <c r="BN958" s="126"/>
      <c r="BO958" s="126"/>
      <c r="BP958" s="126"/>
      <c r="BQ958" s="126"/>
      <c r="BR958" s="126"/>
      <c r="BS958" s="126"/>
      <c r="BT958" s="126"/>
      <c r="BU958" s="126"/>
      <c r="BV958" s="126"/>
      <c r="BW958" s="126"/>
      <c r="BX958" s="126"/>
      <c r="BY958" s="126"/>
      <c r="BZ958" s="126"/>
      <c r="CA958" s="126"/>
      <c r="CB958" s="126"/>
      <c r="CC958" s="126"/>
      <c r="CD958" s="126"/>
      <c r="CE958" s="126"/>
      <c r="CF958" s="126"/>
      <c r="CG958" s="126"/>
      <c r="CH958" s="126"/>
      <c r="CI958" s="126"/>
      <c r="CJ958" s="126"/>
      <c r="CK958" s="126"/>
      <c r="CL958" s="126"/>
      <c r="CM958" s="126"/>
      <c r="CN958" s="126"/>
      <c r="CO958" s="126"/>
      <c r="CP958" s="126"/>
      <c r="CQ958" s="126"/>
      <c r="CR958" s="126"/>
      <c r="CS958" s="126"/>
      <c r="CT958" s="126"/>
      <c r="CU958" s="126"/>
      <c r="CV958" s="126"/>
      <c r="CW958" s="126"/>
      <c r="CX958" s="126"/>
      <c r="CY958" s="126"/>
      <c r="CZ958" s="126"/>
      <c r="DA958" s="126"/>
      <c r="DB958" s="126"/>
      <c r="DC958" s="126"/>
      <c r="DD958" s="126"/>
      <c r="DE958" s="126"/>
      <c r="DF958" s="126"/>
      <c r="DG958" s="126"/>
      <c r="DH958" s="126"/>
      <c r="DI958" s="126"/>
      <c r="DJ958" s="126"/>
      <c r="DK958" s="126"/>
      <c r="DL958" s="126"/>
      <c r="DM958" s="126"/>
      <c r="DN958" s="126"/>
      <c r="DO958" s="126"/>
      <c r="DP958" s="126"/>
      <c r="DQ958" s="126"/>
      <c r="DR958" s="126"/>
      <c r="DS958" s="126"/>
      <c r="DT958" s="126"/>
      <c r="DU958" s="126"/>
      <c r="DV958" s="126"/>
      <c r="DW958" s="126"/>
      <c r="DX958" s="126"/>
      <c r="DY958" s="126"/>
      <c r="DZ958" s="126"/>
      <c r="EA958" s="126"/>
      <c r="EB958" s="126"/>
      <c r="EC958" s="126"/>
      <c r="ED958" s="126"/>
      <c r="EE958" s="126"/>
      <c r="EF958" s="126"/>
      <c r="EG958" s="126"/>
      <c r="EH958" s="126"/>
      <c r="EI958" s="126"/>
      <c r="EJ958" s="126"/>
      <c r="EK958" s="126"/>
      <c r="EL958" s="126"/>
      <c r="EM958" s="126"/>
      <c r="EN958" s="126"/>
      <c r="EO958" s="126"/>
      <c r="EP958" s="126"/>
      <c r="EQ958" s="126"/>
      <c r="ER958" s="126"/>
      <c r="ES958" s="126"/>
      <c r="ET958" s="126"/>
      <c r="EU958" s="126"/>
      <c r="EV958" s="126"/>
      <c r="EW958" s="126"/>
      <c r="EX958" s="126"/>
      <c r="EY958" s="126"/>
      <c r="EZ958" s="126"/>
      <c r="FA958" s="126"/>
      <c r="FB958" s="126"/>
      <c r="FC958" s="126"/>
      <c r="FD958" s="126"/>
      <c r="FE958" s="126"/>
      <c r="FF958" s="126"/>
      <c r="FG958" s="126"/>
      <c r="FH958" s="126"/>
      <c r="FI958" s="126"/>
      <c r="FJ958" s="126"/>
      <c r="FK958" s="126"/>
      <c r="FL958" s="126"/>
      <c r="FM958" s="126"/>
      <c r="FN958" s="126"/>
      <c r="FO958" s="126"/>
      <c r="FP958" s="126"/>
      <c r="FQ958" s="126"/>
      <c r="FR958" s="126"/>
      <c r="FS958" s="126"/>
      <c r="FT958" s="126"/>
      <c r="FU958" s="126"/>
      <c r="FV958" s="126"/>
      <c r="FW958" s="126"/>
      <c r="FX958" s="126"/>
      <c r="FY958" s="126"/>
      <c r="FZ958" s="126"/>
      <c r="GA958" s="126"/>
      <c r="GB958" s="126"/>
      <c r="GC958" s="126"/>
      <c r="GD958" s="126"/>
      <c r="GE958" s="126"/>
      <c r="GF958" s="126"/>
      <c r="GG958" s="126"/>
      <c r="GH958" s="126"/>
      <c r="GI958" s="126"/>
      <c r="GJ958" s="126"/>
      <c r="GK958" s="126"/>
      <c r="GL958" s="126"/>
      <c r="GM958" s="126"/>
      <c r="GN958" s="126"/>
      <c r="GO958" s="126"/>
      <c r="GP958" s="126"/>
      <c r="GQ958" s="126"/>
      <c r="GR958" s="126"/>
      <c r="GS958" s="126"/>
      <c r="GT958" s="126"/>
      <c r="GU958" s="126"/>
      <c r="GV958" s="126"/>
      <c r="GW958" s="126"/>
      <c r="GX958" s="126"/>
      <c r="GY958" s="126"/>
      <c r="GZ958" s="126"/>
      <c r="HA958" s="126"/>
      <c r="HB958" s="126"/>
      <c r="HC958" s="126"/>
      <c r="HD958" s="126"/>
      <c r="HE958" s="126"/>
      <c r="HF958" s="126"/>
      <c r="HG958" s="126"/>
      <c r="HH958" s="126"/>
      <c r="HI958" s="126"/>
      <c r="HJ958" s="126"/>
      <c r="HK958" s="126"/>
      <c r="HL958" s="126"/>
      <c r="HM958" s="126"/>
      <c r="HN958" s="126"/>
      <c r="HO958" s="126"/>
      <c r="HP958" s="126"/>
      <c r="HQ958" s="126"/>
      <c r="HR958" s="126"/>
      <c r="HS958" s="126"/>
      <c r="HT958" s="126"/>
      <c r="HU958" s="126"/>
      <c r="HV958" s="126"/>
      <c r="HW958" s="126"/>
      <c r="HX958" s="126"/>
      <c r="HY958" s="126"/>
      <c r="HZ958" s="126"/>
      <c r="IA958" s="126"/>
      <c r="IB958" s="126"/>
      <c r="IC958" s="126"/>
      <c r="ID958" s="126"/>
      <c r="IE958" s="126"/>
      <c r="IF958" s="126"/>
      <c r="IG958" s="126"/>
      <c r="IH958" s="126"/>
      <c r="II958" s="126"/>
      <c r="IJ958" s="126"/>
      <c r="IK958" s="126"/>
      <c r="IL958" s="126"/>
      <c r="IM958" s="126"/>
      <c r="IN958" s="126"/>
      <c r="IO958" s="126"/>
      <c r="IP958" s="126"/>
      <c r="IQ958" s="126"/>
      <c r="IR958" s="126"/>
      <c r="IS958" s="126"/>
      <c r="IT958" s="126"/>
    </row>
  </sheetData>
  <mergeCells count="29">
    <mergeCell ref="D4:E4"/>
    <mergeCell ref="A449:A450"/>
    <mergeCell ref="B449:B450"/>
    <mergeCell ref="C449:C450"/>
    <mergeCell ref="A4:A5"/>
    <mergeCell ref="B4:B5"/>
    <mergeCell ref="C4:C5"/>
    <mergeCell ref="O4:O5"/>
    <mergeCell ref="F4:G4"/>
    <mergeCell ref="H4:I4"/>
    <mergeCell ref="J4:K4"/>
    <mergeCell ref="M4:M5"/>
    <mergeCell ref="N4:N5"/>
    <mergeCell ref="L4:L5"/>
    <mergeCell ref="N449:N450"/>
    <mergeCell ref="O449:O450"/>
    <mergeCell ref="H449:I449"/>
    <mergeCell ref="J449:K449"/>
    <mergeCell ref="M449:M450"/>
    <mergeCell ref="A924:I924"/>
    <mergeCell ref="A926:A927"/>
    <mergeCell ref="B926:C926"/>
    <mergeCell ref="D926:E926"/>
    <mergeCell ref="G926:I926"/>
    <mergeCell ref="A938:I938"/>
    <mergeCell ref="A940:A941"/>
    <mergeCell ref="B940:C940"/>
    <mergeCell ref="D940:E940"/>
    <mergeCell ref="G940:I940"/>
  </mergeCells>
  <phoneticPr fontId="6" type="noConversion"/>
  <pageMargins left="0.19685039370078741" right="0.15748031496062992" top="0.15748031496062992" bottom="0.15748031496062992" header="0.15748031496062992" footer="0.15748031496062992"/>
  <pageSetup paperSize="9" scale="62" fitToHeight="10" orientation="landscape" r:id="rId1"/>
  <headerFooter alignWithMargins="0"/>
  <rowBreaks count="7" manualBreakCount="7">
    <brk id="141" max="16" man="1"/>
    <brk id="273" max="16" man="1"/>
    <brk id="406" max="16" man="1"/>
    <brk id="448" max="16383" man="1"/>
    <brk id="563" max="16383" man="1"/>
    <brk id="669" max="16" man="1"/>
    <brk id="77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tabSelected="1" view="pageBreakPreview" zoomScale="6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31" sqref="O31"/>
    </sheetView>
  </sheetViews>
  <sheetFormatPr defaultRowHeight="12.75" x14ac:dyDescent="0.2"/>
  <cols>
    <col min="1" max="1" width="5.85546875" style="1" customWidth="1"/>
    <col min="2" max="2" width="45.85546875" style="1" customWidth="1"/>
    <col min="3" max="3" width="8.5703125" style="1" customWidth="1"/>
    <col min="4" max="4" width="12.42578125" style="1" customWidth="1"/>
    <col min="5" max="5" width="10.7109375" style="1" customWidth="1"/>
    <col min="6" max="6" width="12.5703125" style="1" hidden="1" customWidth="1"/>
    <col min="7" max="7" width="11.140625" style="1" hidden="1" customWidth="1"/>
    <col min="8" max="8" width="13.7109375" style="1" customWidth="1"/>
    <col min="9" max="9" width="12" style="1" customWidth="1"/>
    <col min="10" max="10" width="13.85546875" style="1" customWidth="1"/>
    <col min="11" max="12" width="10.85546875" style="1" customWidth="1"/>
    <col min="13" max="13" width="12.7109375" style="1" customWidth="1"/>
    <col min="14" max="14" width="9.85546875" style="1" customWidth="1"/>
    <col min="15" max="15" width="11.7109375" style="1" customWidth="1"/>
    <col min="16" max="16" width="9.85546875" style="1" customWidth="1"/>
    <col min="17" max="17" width="9.140625" style="1" customWidth="1"/>
    <col min="18" max="16384" width="9.140625" style="1"/>
  </cols>
  <sheetData>
    <row r="1" spans="1:18" x14ac:dyDescent="0.2">
      <c r="M1" s="12"/>
      <c r="N1" s="12"/>
      <c r="O1" s="12"/>
    </row>
    <row r="2" spans="1:18" x14ac:dyDescent="0.2">
      <c r="M2" s="12"/>
      <c r="N2" s="12"/>
      <c r="O2" s="12"/>
    </row>
    <row r="3" spans="1:18" x14ac:dyDescent="0.2">
      <c r="M3" s="12"/>
      <c r="N3" s="12"/>
      <c r="O3" s="12"/>
    </row>
    <row r="4" spans="1:18" x14ac:dyDescent="0.2">
      <c r="M4" s="12"/>
      <c r="N4" s="12"/>
      <c r="O4" s="12"/>
    </row>
    <row r="5" spans="1:18" x14ac:dyDescent="0.2">
      <c r="M5" s="12"/>
      <c r="N5" s="12"/>
      <c r="O5" s="12"/>
    </row>
    <row r="6" spans="1:18" x14ac:dyDescent="0.2">
      <c r="A6" s="11" t="s">
        <v>342</v>
      </c>
      <c r="C6" s="11"/>
      <c r="D6" s="11"/>
      <c r="E6" s="11"/>
      <c r="F6" s="11"/>
    </row>
    <row r="7" spans="1:18" x14ac:dyDescent="0.2">
      <c r="N7" s="1" t="s">
        <v>19</v>
      </c>
    </row>
    <row r="8" spans="1:18" ht="15" customHeight="1" x14ac:dyDescent="0.2">
      <c r="A8" s="164" t="s">
        <v>0</v>
      </c>
      <c r="B8" s="165" t="s">
        <v>1</v>
      </c>
      <c r="C8" s="165" t="s">
        <v>344</v>
      </c>
      <c r="D8" s="159" t="s">
        <v>2</v>
      </c>
      <c r="E8" s="159"/>
      <c r="F8" s="160" t="s">
        <v>3</v>
      </c>
      <c r="G8" s="161"/>
      <c r="H8" s="160" t="s">
        <v>3</v>
      </c>
      <c r="I8" s="161"/>
      <c r="J8" s="159" t="s">
        <v>4</v>
      </c>
      <c r="K8" s="159"/>
      <c r="L8" s="78"/>
      <c r="M8" s="166" t="s">
        <v>268</v>
      </c>
      <c r="N8" s="166" t="s">
        <v>5</v>
      </c>
      <c r="O8" s="166" t="s">
        <v>26</v>
      </c>
      <c r="P8" s="2"/>
      <c r="Q8" s="2"/>
    </row>
    <row r="9" spans="1:18" ht="104.25" customHeight="1" x14ac:dyDescent="0.2">
      <c r="A9" s="164"/>
      <c r="B9" s="164"/>
      <c r="C9" s="164"/>
      <c r="D9" s="78" t="s">
        <v>285</v>
      </c>
      <c r="E9" s="78" t="s">
        <v>21</v>
      </c>
      <c r="F9" s="78" t="s">
        <v>22</v>
      </c>
      <c r="G9" s="78" t="s">
        <v>21</v>
      </c>
      <c r="H9" s="78" t="s">
        <v>286</v>
      </c>
      <c r="I9" s="78" t="s">
        <v>23</v>
      </c>
      <c r="J9" s="78" t="s">
        <v>24</v>
      </c>
      <c r="K9" s="78" t="s">
        <v>25</v>
      </c>
      <c r="L9" s="46" t="s">
        <v>46</v>
      </c>
      <c r="M9" s="167"/>
      <c r="N9" s="167"/>
      <c r="O9" s="167"/>
    </row>
    <row r="10" spans="1:18" s="11" customFormat="1" x14ac:dyDescent="0.2">
      <c r="A10" s="85" t="s">
        <v>6</v>
      </c>
      <c r="B10" s="82" t="s">
        <v>256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>
        <f>N11+O11</f>
        <v>11570000.08</v>
      </c>
      <c r="P10" s="109"/>
      <c r="Q10" s="109"/>
    </row>
    <row r="11" spans="1:18" ht="38.25" x14ac:dyDescent="0.2">
      <c r="A11" s="6" t="s">
        <v>8</v>
      </c>
      <c r="B11" s="14" t="s">
        <v>325</v>
      </c>
      <c r="C11" s="31">
        <v>276024</v>
      </c>
      <c r="D11" s="41">
        <v>33.15</v>
      </c>
      <c r="E11" s="31">
        <f>D11*C11</f>
        <v>9150195.5999999996</v>
      </c>
      <c r="F11" s="31"/>
      <c r="G11" s="31"/>
      <c r="H11" s="41">
        <v>6.26</v>
      </c>
      <c r="I11" s="31">
        <f>C11*H11</f>
        <v>1727910.24</v>
      </c>
      <c r="J11" s="41">
        <v>2.5099999999999998</v>
      </c>
      <c r="K11" s="42">
        <f>J11*C11-926</f>
        <v>691894.24</v>
      </c>
      <c r="L11" s="63">
        <f>D11+H11+J11</f>
        <v>41.919999999999995</v>
      </c>
      <c r="M11" s="42">
        <f>E11+I11+K11</f>
        <v>11570000.08</v>
      </c>
      <c r="N11" s="42">
        <v>0</v>
      </c>
      <c r="O11" s="42">
        <f>M11+N11</f>
        <v>11570000.08</v>
      </c>
      <c r="P11" s="73"/>
      <c r="Q11" s="38"/>
    </row>
    <row r="12" spans="1:18" s="11" customFormat="1" x14ac:dyDescent="0.2">
      <c r="A12" s="85">
        <v>2</v>
      </c>
      <c r="B12" s="82" t="s">
        <v>262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>
        <f>N13+O13</f>
        <v>19553000.34</v>
      </c>
      <c r="P12" s="109"/>
      <c r="Q12" s="109"/>
    </row>
    <row r="13" spans="1:18" ht="38.25" x14ac:dyDescent="0.2">
      <c r="A13" s="6" t="s">
        <v>15</v>
      </c>
      <c r="B13" s="14" t="s">
        <v>325</v>
      </c>
      <c r="C13" s="31">
        <v>378906</v>
      </c>
      <c r="D13" s="41">
        <v>27.1</v>
      </c>
      <c r="E13" s="31">
        <f>D13*C13</f>
        <v>10268352.6</v>
      </c>
      <c r="F13" s="31"/>
      <c r="G13" s="31"/>
      <c r="H13" s="41">
        <v>7.28</v>
      </c>
      <c r="I13" s="31">
        <f>C13*H13</f>
        <v>2758435.68</v>
      </c>
      <c r="J13" s="41">
        <v>16.510000000000002</v>
      </c>
      <c r="K13" s="42">
        <f>J13*C13+6474</f>
        <v>6262212.0600000005</v>
      </c>
      <c r="L13" s="63">
        <f>D13+H13+J13</f>
        <v>50.89</v>
      </c>
      <c r="M13" s="42">
        <f>E13+I13+K13</f>
        <v>19289000.34</v>
      </c>
      <c r="N13" s="42">
        <v>132000</v>
      </c>
      <c r="O13" s="148">
        <f>M13+N13</f>
        <v>19421000.34</v>
      </c>
      <c r="P13" s="73"/>
      <c r="Q13" s="40"/>
      <c r="R13" s="11"/>
    </row>
    <row r="14" spans="1:18" s="11" customFormat="1" ht="14.25" customHeight="1" x14ac:dyDescent="0.2">
      <c r="A14" s="85">
        <v>3</v>
      </c>
      <c r="B14" s="82" t="s">
        <v>263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>M15+M16+M26+M27+N15</f>
        <v>27292200</v>
      </c>
      <c r="P14" s="109"/>
      <c r="Q14" s="109"/>
    </row>
    <row r="15" spans="1:18" ht="38.25" x14ac:dyDescent="0.2">
      <c r="A15" s="6" t="s">
        <v>93</v>
      </c>
      <c r="B15" s="14" t="s">
        <v>325</v>
      </c>
      <c r="C15" s="31">
        <v>1728</v>
      </c>
      <c r="D15" s="41">
        <v>94.5</v>
      </c>
      <c r="E15" s="31">
        <f>D15*C15</f>
        <v>163296</v>
      </c>
      <c r="F15" s="31"/>
      <c r="G15" s="31"/>
      <c r="H15" s="41">
        <v>16.73</v>
      </c>
      <c r="I15" s="31">
        <f>C15*H15</f>
        <v>28909.440000000002</v>
      </c>
      <c r="J15" s="41">
        <v>28.77</v>
      </c>
      <c r="K15" s="31">
        <f>J15*C15</f>
        <v>49714.559999999998</v>
      </c>
      <c r="L15" s="41">
        <f>D15+H15+J15</f>
        <v>140</v>
      </c>
      <c r="M15" s="31">
        <f>E15+I15+K15</f>
        <v>241920</v>
      </c>
      <c r="N15" s="31">
        <v>114000</v>
      </c>
      <c r="O15" s="31"/>
      <c r="P15" s="38"/>
      <c r="Q15" s="38"/>
    </row>
    <row r="16" spans="1:18" ht="38.25" x14ac:dyDescent="0.2">
      <c r="A16" s="106" t="s">
        <v>94</v>
      </c>
      <c r="B16" s="107" t="s">
        <v>326</v>
      </c>
      <c r="C16" s="31">
        <v>158280</v>
      </c>
      <c r="D16" s="41">
        <v>94.5</v>
      </c>
      <c r="E16" s="31">
        <f t="shared" ref="E16:E27" si="0">D16*C16</f>
        <v>14957460</v>
      </c>
      <c r="F16" s="31"/>
      <c r="G16" s="31"/>
      <c r="H16" s="41">
        <v>16.73</v>
      </c>
      <c r="I16" s="31">
        <f t="shared" ref="I16:I27" si="1">C16*H16</f>
        <v>2648024.4</v>
      </c>
      <c r="J16" s="41">
        <v>28.77</v>
      </c>
      <c r="K16" s="31">
        <f t="shared" ref="K16:K26" si="2">J16*C16</f>
        <v>4553715.5999999996</v>
      </c>
      <c r="L16" s="41">
        <f t="shared" ref="L16:L27" si="3">D16+H16+J16</f>
        <v>140</v>
      </c>
      <c r="M16" s="31">
        <f t="shared" ref="M16:M27" si="4">E16+I16+K16</f>
        <v>22159200</v>
      </c>
      <c r="N16" s="31"/>
      <c r="O16" s="31"/>
      <c r="P16" s="38"/>
      <c r="Q16" s="38"/>
    </row>
    <row r="17" spans="1:17" ht="51" hidden="1" customHeight="1" x14ac:dyDescent="0.2">
      <c r="A17" s="6" t="s">
        <v>10</v>
      </c>
      <c r="B17" s="30" t="s">
        <v>257</v>
      </c>
      <c r="C17" s="31"/>
      <c r="D17" s="41">
        <v>94.5</v>
      </c>
      <c r="E17" s="31">
        <f t="shared" si="0"/>
        <v>0</v>
      </c>
      <c r="F17" s="31"/>
      <c r="G17" s="31"/>
      <c r="H17" s="41">
        <v>16.73</v>
      </c>
      <c r="I17" s="31">
        <f t="shared" si="1"/>
        <v>0</v>
      </c>
      <c r="J17" s="41">
        <v>28.77</v>
      </c>
      <c r="K17" s="31">
        <f t="shared" si="2"/>
        <v>0</v>
      </c>
      <c r="L17" s="41">
        <f t="shared" si="3"/>
        <v>140</v>
      </c>
      <c r="M17" s="31">
        <f t="shared" si="4"/>
        <v>0</v>
      </c>
      <c r="N17" s="31"/>
      <c r="O17" s="31"/>
      <c r="P17" s="38"/>
      <c r="Q17" s="38"/>
    </row>
    <row r="18" spans="1:17" ht="12.75" hidden="1" customHeight="1" x14ac:dyDescent="0.2">
      <c r="A18" s="6"/>
      <c r="B18" s="30" t="s">
        <v>258</v>
      </c>
      <c r="C18" s="31"/>
      <c r="D18" s="41">
        <v>94.5</v>
      </c>
      <c r="E18" s="31">
        <f t="shared" si="0"/>
        <v>0</v>
      </c>
      <c r="F18" s="31"/>
      <c r="G18" s="31"/>
      <c r="H18" s="41">
        <v>16.73</v>
      </c>
      <c r="I18" s="31">
        <f t="shared" si="1"/>
        <v>0</v>
      </c>
      <c r="J18" s="41">
        <v>28.77</v>
      </c>
      <c r="K18" s="31">
        <f t="shared" si="2"/>
        <v>0</v>
      </c>
      <c r="L18" s="41">
        <f t="shared" si="3"/>
        <v>140</v>
      </c>
      <c r="M18" s="31">
        <f t="shared" si="4"/>
        <v>0</v>
      </c>
      <c r="N18" s="31"/>
      <c r="O18" s="31"/>
      <c r="P18" s="38"/>
      <c r="Q18" s="38"/>
    </row>
    <row r="19" spans="1:17" ht="12.75" hidden="1" customHeight="1" x14ac:dyDescent="0.2">
      <c r="A19" s="6"/>
      <c r="B19" s="6" t="s">
        <v>259</v>
      </c>
      <c r="C19" s="31"/>
      <c r="D19" s="41">
        <v>94.5</v>
      </c>
      <c r="E19" s="31">
        <f t="shared" si="0"/>
        <v>0</v>
      </c>
      <c r="F19" s="31"/>
      <c r="G19" s="31"/>
      <c r="H19" s="41">
        <v>16.73</v>
      </c>
      <c r="I19" s="31">
        <f t="shared" si="1"/>
        <v>0</v>
      </c>
      <c r="J19" s="41">
        <v>28.77</v>
      </c>
      <c r="K19" s="31">
        <f t="shared" si="2"/>
        <v>0</v>
      </c>
      <c r="L19" s="41">
        <f t="shared" si="3"/>
        <v>140</v>
      </c>
      <c r="M19" s="31">
        <f t="shared" si="4"/>
        <v>0</v>
      </c>
      <c r="N19" s="31"/>
      <c r="O19" s="31"/>
      <c r="P19" s="38"/>
      <c r="Q19" s="38"/>
    </row>
    <row r="20" spans="1:17" hidden="1" x14ac:dyDescent="0.2">
      <c r="A20" s="6"/>
      <c r="B20" s="79" t="s">
        <v>156</v>
      </c>
      <c r="C20" s="31"/>
      <c r="D20" s="41">
        <v>94.5</v>
      </c>
      <c r="E20" s="31">
        <f t="shared" si="0"/>
        <v>0</v>
      </c>
      <c r="F20" s="31"/>
      <c r="G20" s="31"/>
      <c r="H20" s="41">
        <v>16.73</v>
      </c>
      <c r="I20" s="31">
        <f t="shared" si="1"/>
        <v>0</v>
      </c>
      <c r="J20" s="41">
        <v>28.77</v>
      </c>
      <c r="K20" s="31">
        <f t="shared" si="2"/>
        <v>0</v>
      </c>
      <c r="L20" s="41">
        <f t="shared" si="3"/>
        <v>140</v>
      </c>
      <c r="M20" s="31">
        <f t="shared" si="4"/>
        <v>0</v>
      </c>
      <c r="N20" s="31"/>
      <c r="O20" s="31"/>
      <c r="P20" s="38"/>
      <c r="Q20" s="38"/>
    </row>
    <row r="21" spans="1:17" hidden="1" x14ac:dyDescent="0.2">
      <c r="A21" s="6"/>
      <c r="B21" s="7" t="s">
        <v>157</v>
      </c>
      <c r="C21" s="31"/>
      <c r="D21" s="41">
        <v>94.5</v>
      </c>
      <c r="E21" s="31">
        <f t="shared" si="0"/>
        <v>0</v>
      </c>
      <c r="F21" s="31"/>
      <c r="G21" s="31"/>
      <c r="H21" s="41">
        <v>16.73</v>
      </c>
      <c r="I21" s="31">
        <f t="shared" si="1"/>
        <v>0</v>
      </c>
      <c r="J21" s="41">
        <v>28.77</v>
      </c>
      <c r="K21" s="31">
        <f t="shared" si="2"/>
        <v>0</v>
      </c>
      <c r="L21" s="41">
        <f t="shared" si="3"/>
        <v>140</v>
      </c>
      <c r="M21" s="31">
        <f t="shared" si="4"/>
        <v>0</v>
      </c>
      <c r="N21" s="31"/>
      <c r="O21" s="31"/>
      <c r="P21" s="38"/>
      <c r="Q21" s="38"/>
    </row>
    <row r="22" spans="1:17" ht="51" hidden="1" x14ac:dyDescent="0.2">
      <c r="A22" s="6" t="s">
        <v>12</v>
      </c>
      <c r="B22" s="29" t="s">
        <v>155</v>
      </c>
      <c r="C22" s="31"/>
      <c r="D22" s="41">
        <v>94.5</v>
      </c>
      <c r="E22" s="31">
        <f t="shared" si="0"/>
        <v>0</v>
      </c>
      <c r="F22" s="31"/>
      <c r="G22" s="31"/>
      <c r="H22" s="41">
        <v>16.73</v>
      </c>
      <c r="I22" s="31">
        <f t="shared" si="1"/>
        <v>0</v>
      </c>
      <c r="J22" s="41">
        <v>28.77</v>
      </c>
      <c r="K22" s="31">
        <f t="shared" si="2"/>
        <v>0</v>
      </c>
      <c r="L22" s="41">
        <f t="shared" si="3"/>
        <v>140</v>
      </c>
      <c r="M22" s="31">
        <f t="shared" si="4"/>
        <v>0</v>
      </c>
      <c r="N22" s="31"/>
      <c r="O22" s="31"/>
      <c r="P22" s="38"/>
      <c r="Q22" s="38"/>
    </row>
    <row r="23" spans="1:17" hidden="1" x14ac:dyDescent="0.2">
      <c r="A23" s="6"/>
      <c r="B23" s="10" t="s">
        <v>91</v>
      </c>
      <c r="C23" s="31"/>
      <c r="D23" s="41">
        <v>94.5</v>
      </c>
      <c r="E23" s="31">
        <f t="shared" si="0"/>
        <v>0</v>
      </c>
      <c r="F23" s="31"/>
      <c r="G23" s="31"/>
      <c r="H23" s="41">
        <v>16.73</v>
      </c>
      <c r="I23" s="31">
        <f t="shared" si="1"/>
        <v>0</v>
      </c>
      <c r="J23" s="41">
        <v>28.77</v>
      </c>
      <c r="K23" s="31">
        <f t="shared" si="2"/>
        <v>0</v>
      </c>
      <c r="L23" s="41">
        <f t="shared" si="3"/>
        <v>140</v>
      </c>
      <c r="M23" s="31">
        <f t="shared" si="4"/>
        <v>0</v>
      </c>
      <c r="N23" s="31"/>
      <c r="O23" s="31"/>
      <c r="P23" s="38"/>
      <c r="Q23" s="38"/>
    </row>
    <row r="24" spans="1:17" hidden="1" x14ac:dyDescent="0.2">
      <c r="A24" s="6"/>
      <c r="B24" s="7" t="s">
        <v>92</v>
      </c>
      <c r="C24" s="31"/>
      <c r="D24" s="41">
        <v>94.5</v>
      </c>
      <c r="E24" s="31">
        <f t="shared" si="0"/>
        <v>0</v>
      </c>
      <c r="F24" s="31"/>
      <c r="G24" s="31"/>
      <c r="H24" s="41">
        <v>16.73</v>
      </c>
      <c r="I24" s="31">
        <f t="shared" si="1"/>
        <v>0</v>
      </c>
      <c r="J24" s="41">
        <v>28.77</v>
      </c>
      <c r="K24" s="31">
        <f t="shared" si="2"/>
        <v>0</v>
      </c>
      <c r="L24" s="41">
        <f t="shared" si="3"/>
        <v>140</v>
      </c>
      <c r="M24" s="31">
        <f t="shared" si="4"/>
        <v>0</v>
      </c>
      <c r="N24" s="31"/>
      <c r="O24" s="31"/>
      <c r="P24" s="38"/>
      <c r="Q24" s="38"/>
    </row>
    <row r="25" spans="1:17" ht="38.25" hidden="1" x14ac:dyDescent="0.2">
      <c r="A25" s="6" t="s">
        <v>53</v>
      </c>
      <c r="B25" s="29" t="s">
        <v>158</v>
      </c>
      <c r="C25" s="31"/>
      <c r="D25" s="41">
        <v>94.5</v>
      </c>
      <c r="E25" s="31">
        <f t="shared" si="0"/>
        <v>0</v>
      </c>
      <c r="F25" s="31"/>
      <c r="G25" s="31"/>
      <c r="H25" s="41">
        <v>16.73</v>
      </c>
      <c r="I25" s="31">
        <f t="shared" si="1"/>
        <v>0</v>
      </c>
      <c r="J25" s="41">
        <v>28.77</v>
      </c>
      <c r="K25" s="31">
        <f t="shared" si="2"/>
        <v>0</v>
      </c>
      <c r="L25" s="41">
        <f t="shared" si="3"/>
        <v>140</v>
      </c>
      <c r="M25" s="31">
        <f t="shared" si="4"/>
        <v>0</v>
      </c>
      <c r="N25" s="31"/>
      <c r="O25" s="31"/>
      <c r="P25" s="38"/>
      <c r="Q25" s="38"/>
    </row>
    <row r="26" spans="1:17" ht="38.25" x14ac:dyDescent="0.2">
      <c r="A26" s="106" t="s">
        <v>95</v>
      </c>
      <c r="B26" s="107" t="s">
        <v>333</v>
      </c>
      <c r="C26" s="31">
        <v>28320</v>
      </c>
      <c r="D26" s="41">
        <v>94.5</v>
      </c>
      <c r="E26" s="31">
        <f t="shared" si="0"/>
        <v>2676240</v>
      </c>
      <c r="F26" s="31"/>
      <c r="G26" s="31"/>
      <c r="H26" s="41">
        <v>16.73</v>
      </c>
      <c r="I26" s="31">
        <f t="shared" si="1"/>
        <v>473793.60000000003</v>
      </c>
      <c r="J26" s="41">
        <v>28.77</v>
      </c>
      <c r="K26" s="31">
        <f t="shared" si="2"/>
        <v>814766.4</v>
      </c>
      <c r="L26" s="41">
        <f t="shared" si="3"/>
        <v>140</v>
      </c>
      <c r="M26" s="31">
        <f t="shared" si="4"/>
        <v>3964800</v>
      </c>
      <c r="N26" s="31"/>
      <c r="O26" s="31"/>
      <c r="P26" s="38"/>
      <c r="Q26" s="38"/>
    </row>
    <row r="27" spans="1:17" ht="38.25" x14ac:dyDescent="0.2">
      <c r="A27" s="106" t="s">
        <v>169</v>
      </c>
      <c r="B27" s="107" t="s">
        <v>327</v>
      </c>
      <c r="C27" s="31">
        <v>4896</v>
      </c>
      <c r="D27" s="41">
        <v>94.5</v>
      </c>
      <c r="E27" s="31">
        <f t="shared" si="0"/>
        <v>462672</v>
      </c>
      <c r="F27" s="31"/>
      <c r="G27" s="31"/>
      <c r="H27" s="41">
        <v>16.73</v>
      </c>
      <c r="I27" s="31">
        <f t="shared" si="1"/>
        <v>81910.080000000002</v>
      </c>
      <c r="J27" s="41">
        <v>28.77</v>
      </c>
      <c r="K27" s="31">
        <f>J27*C27+126840</f>
        <v>267697.91999999998</v>
      </c>
      <c r="L27" s="41">
        <f t="shared" si="3"/>
        <v>140</v>
      </c>
      <c r="M27" s="31">
        <f t="shared" si="4"/>
        <v>812280</v>
      </c>
      <c r="N27" s="31"/>
      <c r="O27" s="31"/>
      <c r="P27" s="38"/>
      <c r="Q27" s="38"/>
    </row>
    <row r="28" spans="1:17" x14ac:dyDescent="0.2">
      <c r="A28" s="108"/>
      <c r="B28" s="100" t="s">
        <v>328</v>
      </c>
      <c r="C28" s="75">
        <f>C15+C16+C26+C27+C13+C11</f>
        <v>848154</v>
      </c>
      <c r="D28" s="87"/>
      <c r="E28" s="75">
        <f>E15+E16+E26+E27+E13+E11</f>
        <v>37678216.200000003</v>
      </c>
      <c r="F28" s="75"/>
      <c r="G28" s="75"/>
      <c r="H28" s="87"/>
      <c r="I28" s="75">
        <f>I15+I16+I26+I27+I13+I11</f>
        <v>7718983.4400000004</v>
      </c>
      <c r="J28" s="87"/>
      <c r="K28" s="75">
        <f>K15+K16+K26+K27+K13+K11</f>
        <v>12640000.779999999</v>
      </c>
      <c r="L28" s="87"/>
      <c r="M28" s="75">
        <f>M15+M16+M26+M27+M13+M11</f>
        <v>58037200.420000002</v>
      </c>
      <c r="N28" s="75">
        <f>N15+N13+N11</f>
        <v>246000</v>
      </c>
      <c r="O28" s="121">
        <f>O14+O12+O10</f>
        <v>58415200.420000002</v>
      </c>
      <c r="P28" s="73"/>
      <c r="Q28" s="73"/>
    </row>
    <row r="29" spans="1:17" s="11" customFormat="1" ht="14.25" customHeight="1" x14ac:dyDescent="0.2">
      <c r="A29" s="4">
        <v>4</v>
      </c>
      <c r="B29" s="18" t="s">
        <v>260</v>
      </c>
      <c r="C29" s="32"/>
      <c r="D29" s="32"/>
      <c r="E29" s="32"/>
      <c r="F29" s="32"/>
      <c r="G29" s="32"/>
      <c r="H29" s="32"/>
      <c r="I29" s="32"/>
      <c r="J29" s="32"/>
      <c r="K29" s="58"/>
      <c r="L29" s="32"/>
      <c r="M29" s="32"/>
      <c r="N29" s="32">
        <v>10000</v>
      </c>
      <c r="O29" s="58">
        <v>7374000</v>
      </c>
      <c r="P29" s="73"/>
      <c r="Q29" s="73"/>
    </row>
    <row r="30" spans="1:17" ht="38.25" x14ac:dyDescent="0.2">
      <c r="A30" s="6" t="s">
        <v>96</v>
      </c>
      <c r="B30" s="14" t="s">
        <v>329</v>
      </c>
      <c r="C30" s="31">
        <v>79776</v>
      </c>
      <c r="D30" s="41">
        <v>72.8</v>
      </c>
      <c r="E30" s="31">
        <f t="shared" ref="E30:E33" si="5">D30*C30</f>
        <v>5807692.7999999998</v>
      </c>
      <c r="F30" s="31"/>
      <c r="G30" s="31"/>
      <c r="H30" s="41">
        <v>13.97</v>
      </c>
      <c r="I30" s="31">
        <f t="shared" ref="I30:I33" si="6">C30*H30</f>
        <v>1114470.72</v>
      </c>
      <c r="J30" s="41">
        <v>5.52</v>
      </c>
      <c r="K30" s="31">
        <f>J30*C30+1473</f>
        <v>441836.51999999996</v>
      </c>
      <c r="L30" s="41">
        <f t="shared" ref="L30:L33" si="7">D30+H30+J30</f>
        <v>92.289999999999992</v>
      </c>
      <c r="M30" s="31">
        <f t="shared" ref="M30:M33" si="8">E30+I30+K30</f>
        <v>7364000.0399999991</v>
      </c>
      <c r="N30" s="31">
        <v>10000</v>
      </c>
      <c r="O30" s="58">
        <f>M30+N30</f>
        <v>7374000.0399999991</v>
      </c>
      <c r="P30" s="45"/>
      <c r="Q30" s="45"/>
    </row>
    <row r="31" spans="1:17" s="11" customFormat="1" ht="14.25" customHeight="1" x14ac:dyDescent="0.2">
      <c r="A31" s="4">
        <v>5</v>
      </c>
      <c r="B31" s="18" t="s">
        <v>261</v>
      </c>
      <c r="C31" s="32"/>
      <c r="D31" s="32"/>
      <c r="E31" s="32"/>
      <c r="F31" s="32"/>
      <c r="G31" s="32"/>
      <c r="H31" s="32"/>
      <c r="I31" s="32"/>
      <c r="J31" s="32"/>
      <c r="K31" s="58"/>
      <c r="L31" s="32"/>
      <c r="M31" s="32"/>
      <c r="N31" s="32"/>
      <c r="O31" s="32">
        <v>6570000</v>
      </c>
      <c r="P31" s="73"/>
      <c r="Q31" s="40"/>
    </row>
    <row r="32" spans="1:17" ht="38.25" x14ac:dyDescent="0.2">
      <c r="A32" s="6" t="s">
        <v>99</v>
      </c>
      <c r="B32" s="29" t="s">
        <v>330</v>
      </c>
      <c r="C32" s="31">
        <v>17568</v>
      </c>
      <c r="D32" s="41">
        <v>29.94</v>
      </c>
      <c r="E32" s="31">
        <f t="shared" si="5"/>
        <v>525985.92000000004</v>
      </c>
      <c r="F32" s="41"/>
      <c r="G32" s="41"/>
      <c r="H32" s="41">
        <v>4.1500000000000004</v>
      </c>
      <c r="I32" s="31">
        <f t="shared" si="6"/>
        <v>72907.200000000012</v>
      </c>
      <c r="J32" s="41">
        <v>1.79</v>
      </c>
      <c r="K32" s="31">
        <f>J32*C32</f>
        <v>31446.720000000001</v>
      </c>
      <c r="L32" s="41">
        <f t="shared" si="7"/>
        <v>35.880000000000003</v>
      </c>
      <c r="M32" s="31">
        <f t="shared" si="8"/>
        <v>630339.84000000008</v>
      </c>
      <c r="N32" s="31"/>
      <c r="O32" s="31"/>
      <c r="P32" s="38"/>
      <c r="Q32" s="38"/>
    </row>
    <row r="33" spans="1:17" ht="38.25" x14ac:dyDescent="0.2">
      <c r="A33" s="6" t="s">
        <v>100</v>
      </c>
      <c r="B33" s="29" t="s">
        <v>331</v>
      </c>
      <c r="C33" s="31">
        <v>165600</v>
      </c>
      <c r="D33" s="41">
        <v>29.94</v>
      </c>
      <c r="E33" s="31">
        <f t="shared" si="5"/>
        <v>4958064</v>
      </c>
      <c r="F33" s="41"/>
      <c r="G33" s="41"/>
      <c r="H33" s="41">
        <v>4.1500000000000004</v>
      </c>
      <c r="I33" s="31">
        <f t="shared" si="6"/>
        <v>687240.00000000012</v>
      </c>
      <c r="J33" s="41">
        <v>1.79</v>
      </c>
      <c r="K33" s="31">
        <f>J33*C33-2068</f>
        <v>294356</v>
      </c>
      <c r="L33" s="41">
        <f t="shared" si="7"/>
        <v>35.880000000000003</v>
      </c>
      <c r="M33" s="31">
        <f t="shared" si="8"/>
        <v>5939660</v>
      </c>
      <c r="N33" s="31"/>
      <c r="O33" s="31"/>
      <c r="P33" s="38"/>
      <c r="Q33" s="38"/>
    </row>
    <row r="34" spans="1:17" x14ac:dyDescent="0.2">
      <c r="A34" s="4"/>
      <c r="B34" s="100" t="s">
        <v>332</v>
      </c>
      <c r="C34" s="32">
        <f>C32+C33</f>
        <v>183168</v>
      </c>
      <c r="D34" s="47"/>
      <c r="E34" s="32">
        <f>E32+E33</f>
        <v>5484049.9199999999</v>
      </c>
      <c r="F34" s="47"/>
      <c r="G34" s="47"/>
      <c r="H34" s="47"/>
      <c r="I34" s="32">
        <f>I32+I33</f>
        <v>760147.20000000019</v>
      </c>
      <c r="J34" s="47"/>
      <c r="K34" s="32">
        <f>K32+K33</f>
        <v>325802.71999999997</v>
      </c>
      <c r="L34" s="47"/>
      <c r="M34" s="32">
        <f>M32+M33</f>
        <v>6569999.8399999999</v>
      </c>
      <c r="N34" s="32">
        <v>0</v>
      </c>
      <c r="O34" s="141">
        <f>M34+N34</f>
        <v>6569999.8399999999</v>
      </c>
      <c r="P34" s="45"/>
      <c r="Q34" s="38"/>
    </row>
    <row r="35" spans="1:17" s="11" customFormat="1" ht="14.25" customHeight="1" x14ac:dyDescent="0.2">
      <c r="A35" s="4">
        <v>6</v>
      </c>
      <c r="B35" s="18" t="s">
        <v>264</v>
      </c>
      <c r="C35" s="32"/>
      <c r="D35" s="32"/>
      <c r="E35" s="32"/>
      <c r="F35" s="32"/>
      <c r="G35" s="32"/>
      <c r="H35" s="32"/>
      <c r="I35" s="32"/>
      <c r="J35" s="32"/>
      <c r="K35" s="58"/>
      <c r="L35" s="32"/>
      <c r="M35" s="32"/>
      <c r="N35" s="32"/>
      <c r="O35" s="58">
        <v>4343000</v>
      </c>
      <c r="P35" s="73"/>
      <c r="Q35" s="40"/>
    </row>
    <row r="36" spans="1:17" ht="38.25" x14ac:dyDescent="0.2">
      <c r="A36" s="6" t="s">
        <v>102</v>
      </c>
      <c r="B36" s="107" t="s">
        <v>326</v>
      </c>
      <c r="C36" s="31">
        <v>39996</v>
      </c>
      <c r="D36" s="41">
        <v>46.49</v>
      </c>
      <c r="E36" s="31">
        <f t="shared" ref="E36:E38" si="9">D36*C36</f>
        <v>1859414.04</v>
      </c>
      <c r="F36" s="31"/>
      <c r="G36" s="31"/>
      <c r="H36" s="41">
        <v>2.92</v>
      </c>
      <c r="I36" s="31">
        <f t="shared" ref="I36:I38" si="10">C36*H36</f>
        <v>116788.31999999999</v>
      </c>
      <c r="J36" s="41">
        <v>5.0999999999999996</v>
      </c>
      <c r="K36" s="31">
        <f>J36*C36</f>
        <v>203979.59999999998</v>
      </c>
      <c r="L36" s="41">
        <f t="shared" ref="L36:M38" si="11">D36+H36+J36</f>
        <v>54.510000000000005</v>
      </c>
      <c r="M36" s="31">
        <f t="shared" si="11"/>
        <v>2180181.96</v>
      </c>
      <c r="N36" s="31"/>
      <c r="O36" s="31"/>
      <c r="P36" s="38"/>
      <c r="Q36" s="38"/>
    </row>
    <row r="37" spans="1:17" ht="38.25" x14ac:dyDescent="0.2">
      <c r="A37" s="6" t="s">
        <v>103</v>
      </c>
      <c r="B37" s="107" t="s">
        <v>333</v>
      </c>
      <c r="C37" s="31">
        <v>34956</v>
      </c>
      <c r="D37" s="41">
        <v>46.49</v>
      </c>
      <c r="E37" s="31">
        <f t="shared" si="9"/>
        <v>1625104.4400000002</v>
      </c>
      <c r="F37" s="31"/>
      <c r="G37" s="31"/>
      <c r="H37" s="41">
        <v>2.92</v>
      </c>
      <c r="I37" s="31">
        <f t="shared" si="10"/>
        <v>102071.52</v>
      </c>
      <c r="J37" s="41">
        <v>5.0999999999999996</v>
      </c>
      <c r="K37" s="31">
        <f t="shared" ref="K37" si="12">J37*C37</f>
        <v>178275.59999999998</v>
      </c>
      <c r="L37" s="41">
        <f t="shared" si="11"/>
        <v>54.510000000000005</v>
      </c>
      <c r="M37" s="31">
        <f t="shared" si="11"/>
        <v>1905451.56</v>
      </c>
      <c r="N37" s="31"/>
      <c r="O37" s="31"/>
      <c r="P37" s="38"/>
      <c r="Q37" s="38"/>
    </row>
    <row r="38" spans="1:17" ht="38.25" x14ac:dyDescent="0.2">
      <c r="A38" s="6" t="s">
        <v>104</v>
      </c>
      <c r="B38" s="29" t="s">
        <v>330</v>
      </c>
      <c r="C38" s="31">
        <v>4752</v>
      </c>
      <c r="D38" s="41">
        <v>46.49</v>
      </c>
      <c r="E38" s="31">
        <f t="shared" si="9"/>
        <v>220920.48</v>
      </c>
      <c r="F38" s="31"/>
      <c r="G38" s="31"/>
      <c r="H38" s="41">
        <v>2.92</v>
      </c>
      <c r="I38" s="31">
        <f t="shared" si="10"/>
        <v>13875.84</v>
      </c>
      <c r="J38" s="41">
        <v>5.0999999999999996</v>
      </c>
      <c r="K38" s="31">
        <f>J38*C38-1665</f>
        <v>22570.199999999997</v>
      </c>
      <c r="L38" s="41">
        <f t="shared" si="11"/>
        <v>54.510000000000005</v>
      </c>
      <c r="M38" s="31">
        <f t="shared" si="11"/>
        <v>257366.52000000002</v>
      </c>
      <c r="N38" s="31"/>
      <c r="O38" s="31"/>
      <c r="P38" s="38"/>
      <c r="Q38" s="38"/>
    </row>
    <row r="39" spans="1:17" x14ac:dyDescent="0.2">
      <c r="A39" s="6"/>
      <c r="B39" s="100" t="s">
        <v>334</v>
      </c>
      <c r="C39" s="32">
        <f>C36+C37+C38</f>
        <v>79704</v>
      </c>
      <c r="D39" s="31"/>
      <c r="E39" s="32">
        <f>E36+E37+E38</f>
        <v>3705438.9600000004</v>
      </c>
      <c r="F39" s="31"/>
      <c r="G39" s="31"/>
      <c r="H39" s="31"/>
      <c r="I39" s="32">
        <f>I36+I37+I38</f>
        <v>232735.68</v>
      </c>
      <c r="J39" s="31"/>
      <c r="K39" s="32">
        <f>K36+K37+K38</f>
        <v>404825.39999999997</v>
      </c>
      <c r="L39" s="31"/>
      <c r="M39" s="32">
        <f>M36+M37+M38</f>
        <v>4343000.04</v>
      </c>
      <c r="N39" s="32">
        <v>0</v>
      </c>
      <c r="O39" s="141">
        <f>M39+N39</f>
        <v>4343000.04</v>
      </c>
      <c r="P39" s="38"/>
      <c r="Q39" s="38"/>
    </row>
    <row r="40" spans="1:17" s="43" customFormat="1" x14ac:dyDescent="0.2">
      <c r="A40" s="61"/>
      <c r="B40" s="56" t="s">
        <v>265</v>
      </c>
      <c r="C40" s="58">
        <f>C39+C34+C28+C13+C11+C30</f>
        <v>1845732</v>
      </c>
      <c r="D40" s="42"/>
      <c r="E40" s="58">
        <f>E39+E34+E28+E13+E11+E30</f>
        <v>72093946.080000013</v>
      </c>
      <c r="F40" s="42"/>
      <c r="G40" s="42"/>
      <c r="H40" s="42"/>
      <c r="I40" s="58">
        <f>I39+I34+I28+I13+I11+I30</f>
        <v>14312682.960000001</v>
      </c>
      <c r="J40" s="42"/>
      <c r="K40" s="58">
        <f>K39+K34+K28+K13+K11+K30</f>
        <v>20766571.719999999</v>
      </c>
      <c r="L40" s="42"/>
      <c r="M40" s="58">
        <f>M39+M34+M28+M13+M11+M30</f>
        <v>107173200.75999999</v>
      </c>
      <c r="N40" s="58">
        <f>N39+N34+N28+N13+N11+N30</f>
        <v>388000</v>
      </c>
      <c r="O40" s="58">
        <f>O39+O34+O28+O13+O11+O30</f>
        <v>107693200.75999999</v>
      </c>
      <c r="P40" s="45"/>
      <c r="Q40" s="45"/>
    </row>
    <row r="41" spans="1:17" x14ac:dyDescent="0.2">
      <c r="I41" s="28"/>
    </row>
  </sheetData>
  <mergeCells count="10">
    <mergeCell ref="J8:K8"/>
    <mergeCell ref="M8:M9"/>
    <mergeCell ref="N8:N9"/>
    <mergeCell ref="O8:O9"/>
    <mergeCell ref="H8:I8"/>
    <mergeCell ref="A8:A9"/>
    <mergeCell ref="B8:B9"/>
    <mergeCell ref="C8:C9"/>
    <mergeCell ref="D8:E8"/>
    <mergeCell ref="F8:G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 сады на 01.01 2022 год</vt:lpstr>
      <vt:lpstr>свод в фин шк. на 01.01.2022г</vt:lpstr>
      <vt:lpstr>допы2022</vt:lpstr>
      <vt:lpstr>допы2022!Область_печати</vt:lpstr>
      <vt:lpstr>'свод  сады на 01.01 2022 год'!Область_печати</vt:lpstr>
      <vt:lpstr>'свод в фин шк. на 01.01.2022г'!Область_печати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2016-12-29T13:22:01Z</cp:lastPrinted>
  <dcterms:created xsi:type="dcterms:W3CDTF">2006-09-16T00:00:00Z</dcterms:created>
  <dcterms:modified xsi:type="dcterms:W3CDTF">2022-09-27T07:14:46Z</dcterms:modified>
</cp:coreProperties>
</file>