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НАТАША\НА САЙТ\на сайт\бюджет 2020\Исполнение консолидированного бюджета в разрезе ЭК\"/>
    </mc:Choice>
  </mc:AlternateContent>
  <bookViews>
    <workbookView xWindow="0" yWindow="0" windowWidth="21840" windowHeight="1120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E43" i="1"/>
  <c r="G40" i="1"/>
  <c r="E40" i="1"/>
  <c r="G31" i="1"/>
  <c r="E31" i="1"/>
  <c r="G28" i="1"/>
  <c r="E28" i="1"/>
  <c r="G27" i="1"/>
  <c r="E27" i="1"/>
  <c r="G26" i="1"/>
  <c r="E26" i="1"/>
  <c r="G24" i="1"/>
  <c r="E24" i="1"/>
  <c r="G23" i="1"/>
  <c r="E23" i="1"/>
  <c r="G14" i="1"/>
  <c r="E14" i="1"/>
  <c r="G12" i="1"/>
  <c r="E12" i="1"/>
  <c r="D47" i="1" l="1"/>
  <c r="C47" i="1"/>
  <c r="D43" i="1"/>
  <c r="C43" i="1"/>
  <c r="D40" i="1"/>
  <c r="C40" i="1"/>
  <c r="D31" i="1"/>
  <c r="C31" i="1"/>
  <c r="D29" i="1"/>
  <c r="C29" i="1"/>
  <c r="D28" i="1"/>
  <c r="C28" i="1"/>
  <c r="C27" i="1"/>
  <c r="C26" i="1"/>
  <c r="D24" i="1"/>
  <c r="C24" i="1"/>
  <c r="D23" i="1"/>
  <c r="C23" i="1"/>
  <c r="D14" i="1"/>
  <c r="C14" i="1"/>
  <c r="G39" i="1" l="1"/>
  <c r="G30" i="1"/>
  <c r="E19" i="1"/>
  <c r="D49" i="1"/>
  <c r="E49" i="1"/>
  <c r="G49" i="1"/>
  <c r="C49" i="1"/>
  <c r="D46" i="1"/>
  <c r="E46" i="1"/>
  <c r="G46" i="1"/>
  <c r="D42" i="1"/>
  <c r="E42" i="1"/>
  <c r="G42" i="1"/>
  <c r="D39" i="1"/>
  <c r="E39" i="1"/>
  <c r="D32" i="1"/>
  <c r="E32" i="1"/>
  <c r="G32" i="1"/>
  <c r="D30" i="1"/>
  <c r="E30" i="1"/>
  <c r="F30" i="1"/>
  <c r="D25" i="1"/>
  <c r="E25" i="1"/>
  <c r="G25" i="1"/>
  <c r="D19" i="1"/>
  <c r="G19" i="1"/>
  <c r="E15" i="1"/>
  <c r="G15" i="1"/>
  <c r="D13" i="1"/>
  <c r="E13" i="1"/>
  <c r="G13" i="1"/>
  <c r="D5" i="1"/>
  <c r="E5" i="1"/>
  <c r="G5" i="1"/>
  <c r="I5" i="1" l="1"/>
  <c r="G55" i="1"/>
  <c r="E55" i="1"/>
  <c r="C46" i="1" l="1"/>
  <c r="C42" i="1"/>
  <c r="C39" i="1"/>
  <c r="C32" i="1"/>
  <c r="C30" i="1"/>
  <c r="C25" i="1"/>
  <c r="C19" i="1"/>
  <c r="C15" i="1"/>
  <c r="C13" i="1"/>
  <c r="C5" i="1"/>
  <c r="C55" i="1" l="1"/>
  <c r="C54" i="1"/>
  <c r="I37" i="1" l="1"/>
  <c r="I29" i="1"/>
  <c r="I30" i="1"/>
  <c r="I31" i="1"/>
  <c r="I33" i="1"/>
  <c r="H9" i="1"/>
  <c r="H10" i="1"/>
  <c r="H11" i="1"/>
  <c r="E53" i="1"/>
  <c r="F48" i="1"/>
  <c r="F9" i="1"/>
  <c r="D54" i="1"/>
  <c r="D53" i="1"/>
  <c r="E52" i="1"/>
  <c r="I35" i="1"/>
  <c r="I32" i="1"/>
  <c r="D18" i="1"/>
  <c r="D15" i="1" s="1"/>
  <c r="D55" i="1" s="1"/>
  <c r="I11" i="1"/>
  <c r="I10" i="1"/>
  <c r="D52" i="1" l="1"/>
  <c r="H31" i="1"/>
  <c r="H30" i="1"/>
  <c r="I54" i="1" l="1"/>
  <c r="H54" i="1"/>
  <c r="I53" i="1"/>
  <c r="H53" i="1"/>
  <c r="I51" i="1"/>
  <c r="H51" i="1"/>
  <c r="I50" i="1"/>
  <c r="H50" i="1"/>
  <c r="I47" i="1"/>
  <c r="H47" i="1"/>
  <c r="I45" i="1"/>
  <c r="H45" i="1"/>
  <c r="I44" i="1"/>
  <c r="H44" i="1"/>
  <c r="I43" i="1"/>
  <c r="H43" i="1"/>
  <c r="I40" i="1"/>
  <c r="H40" i="1"/>
  <c r="I38" i="1"/>
  <c r="H38" i="1"/>
  <c r="H37" i="1"/>
  <c r="H35" i="1"/>
  <c r="I34" i="1"/>
  <c r="H34" i="1"/>
  <c r="H33" i="1"/>
  <c r="H29" i="1"/>
  <c r="I28" i="1"/>
  <c r="H28" i="1"/>
  <c r="I27" i="1"/>
  <c r="H27" i="1"/>
  <c r="I26" i="1"/>
  <c r="H26" i="1"/>
  <c r="I24" i="1"/>
  <c r="H24" i="1"/>
  <c r="I23" i="1"/>
  <c r="H23" i="1"/>
  <c r="H22" i="1"/>
  <c r="I21" i="1"/>
  <c r="H21" i="1"/>
  <c r="I17" i="1"/>
  <c r="H17" i="1"/>
  <c r="I16" i="1"/>
  <c r="H16" i="1"/>
  <c r="I14" i="1"/>
  <c r="H14" i="1"/>
  <c r="I12" i="1"/>
  <c r="H12" i="1"/>
  <c r="I8" i="1"/>
  <c r="H8" i="1"/>
  <c r="I7" i="1"/>
  <c r="H7" i="1"/>
  <c r="I6" i="1"/>
  <c r="H6" i="1"/>
  <c r="F54" i="1" l="1"/>
  <c r="F53" i="1"/>
  <c r="F51" i="1"/>
  <c r="F50" i="1"/>
  <c r="F49" i="1" s="1"/>
  <c r="F47" i="1"/>
  <c r="F46" i="1" s="1"/>
  <c r="F45" i="1"/>
  <c r="F44" i="1"/>
  <c r="F43" i="1"/>
  <c r="F40" i="1"/>
  <c r="F39" i="1" s="1"/>
  <c r="F38" i="1"/>
  <c r="F35" i="1"/>
  <c r="F34" i="1"/>
  <c r="F33" i="1"/>
  <c r="F29" i="1"/>
  <c r="F28" i="1"/>
  <c r="F27" i="1"/>
  <c r="F26" i="1"/>
  <c r="F24" i="1"/>
  <c r="F23" i="1"/>
  <c r="F22" i="1"/>
  <c r="F21" i="1"/>
  <c r="F20" i="1"/>
  <c r="F18" i="1"/>
  <c r="F17" i="1"/>
  <c r="F16" i="1"/>
  <c r="F14" i="1"/>
  <c r="F13" i="1" s="1"/>
  <c r="F12" i="1"/>
  <c r="F11" i="1"/>
  <c r="F10" i="1"/>
  <c r="F8" i="1"/>
  <c r="F7" i="1"/>
  <c r="F6" i="1"/>
  <c r="F5" i="1" l="1"/>
  <c r="F15" i="1"/>
  <c r="F25" i="1"/>
  <c r="F32" i="1"/>
  <c r="F42" i="1"/>
  <c r="F19" i="1"/>
  <c r="F52" i="1"/>
  <c r="G52" i="1"/>
  <c r="F55" i="1" l="1"/>
  <c r="I52" i="1"/>
  <c r="H52" i="1"/>
  <c r="I49" i="1"/>
  <c r="I46" i="1"/>
  <c r="I42" i="1"/>
  <c r="I39" i="1"/>
  <c r="I25" i="1"/>
  <c r="I19" i="1"/>
  <c r="I15" i="1"/>
  <c r="I13" i="1"/>
  <c r="I55" i="1" l="1"/>
  <c r="H49" i="1"/>
  <c r="H46" i="1"/>
  <c r="H42" i="1"/>
  <c r="H39" i="1"/>
  <c r="H32" i="1"/>
  <c r="H25" i="1"/>
  <c r="H19" i="1"/>
  <c r="H15" i="1"/>
  <c r="H13" i="1"/>
  <c r="H5" i="1"/>
  <c r="H55" i="1" l="1"/>
</calcChain>
</file>

<file path=xl/sharedStrings.xml><?xml version="1.0" encoding="utf-8"?>
<sst xmlns="http://schemas.openxmlformats.org/spreadsheetml/2006/main" count="109" uniqueCount="109">
  <si>
    <t xml:space="preserve"> Отчет</t>
  </si>
  <si>
    <t>Ед.Изм.: тыс.руб.</t>
  </si>
  <si>
    <t>Функциональная структура</t>
  </si>
  <si>
    <t>Раздел,     подраздел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</si>
  <si>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</si>
  <si>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</si>
  <si>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</si>
  <si>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</si>
  <si>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</si>
  <si>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</si>
  <si>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</si>
  <si>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</si>
  <si>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</si>
  <si>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</si>
  <si>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</si>
  <si>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</si>
  <si>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</si>
  <si>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</si>
  <si>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</si>
  <si>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</si>
  <si>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</si>
  <si>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</si>
  <si>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</si>
  <si>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</si>
  <si>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</si>
  <si>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</si>
  <si>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</si>
  <si>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</si>
  <si>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</si>
  <si>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</si>
  <si>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</si>
  <si>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</si>
  <si>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</si>
  <si>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</si>
  <si>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</si>
  <si>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</si>
  <si>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</si>
  <si>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</si>
  <si>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</si>
  <si>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</si>
  <si>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</si>
  <si>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</si>
  <si>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</si>
  <si>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</si>
  <si>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</si>
  <si>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</si>
  <si>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</si>
  <si>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</si>
  <si>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</si>
  <si>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</si>
  <si>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</si>
  <si>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</si>
  <si>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</si>
  <si>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</si>
  <si>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 детей</t>
  </si>
  <si>
    <t>0703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</si>
  <si>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</si>
  <si>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</si>
  <si>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</si>
  <si>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</si>
  <si>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</si>
  <si>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</si>
  <si>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</si>
  <si>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</si>
  <si>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</si>
  <si>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</si>
  <si>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</si>
  <si>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</si>
  <si>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</si>
  <si>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</si>
  <si>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</si>
  <si>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</si>
  <si>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</si>
  <si>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</si>
  <si>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</si>
  <si>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</si>
  <si>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</si>
  <si>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</si>
  <si>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</si>
  <si>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</si>
  <si>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</si>
  <si>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</si>
  <si>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</si>
  <si>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</si>
  <si>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</si>
  <si>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</si>
  <si>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</si>
  <si>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</si>
  <si>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РАСХОДЫ ВСЕГО</t>
  </si>
  <si>
    <t>0102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</si>
  <si>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</si>
  <si>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</si>
  <si>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0310</t>
  </si>
  <si>
    <t>Текущий план на 1 квартал 2018 года</t>
  </si>
  <si>
    <t xml:space="preserve">% исполнения текущего плана </t>
  </si>
  <si>
    <t>Уточненный план  на  2019 год</t>
  </si>
  <si>
    <t>ОХРАНА ОКРУЖАЮЩЕЙ СРЕДЫ</t>
  </si>
  <si>
    <t>Другие вопросы в области окружающей среды</t>
  </si>
  <si>
    <t>0600</t>
  </si>
  <si>
    <t>0605</t>
  </si>
  <si>
    <t>Уточненный план  на  2020 год</t>
  </si>
  <si>
    <t>Темп роста 2020 года к 2019 году</t>
  </si>
  <si>
    <t>Судебная ситстема</t>
  </si>
  <si>
    <t>0105</t>
  </si>
  <si>
    <t>Массовый спорт</t>
  </si>
  <si>
    <t>1102</t>
  </si>
  <si>
    <t xml:space="preserve"> об исполнении консолидированного бюджета муниципального района Мелеузовский район Республики Башкортостан по расходам в разрезе разделов и подразделов за 3 квартал 2020 года в сравнении с  аналогичным периодом 2019 года</t>
  </si>
  <si>
    <t>Исполнено за 3 квартал 2019 года</t>
  </si>
  <si>
    <t>Исполнено за 3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</si>
</sst>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color theme="1"/>
      <name val="Times New Roman"/>
      <family val="2"/>
      <charset val="204"/>
    </font>
    <font>
      <b/>
      <sz val="10"/>
      <color rgb="FF0070C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5" fillId="2" borderId="1" xfId="0" applyFont="1" applyFill="1" applyBorder="1" applyAlignment="1">
      <alignment vertical="top" wrapText="1"/>
    </xf>
    <xf numFmtId="0" fontId="0" fillId="2" borderId="0" xfId="0" applyFill="1" applyAlignment="1">
      <alignment horizontal="right" vertical="top"/>
    </xf>
    <xf numFmtId="0" fontId="0" fillId="2" borderId="1" xfId="0" applyFill="1" applyBorder="1" applyAlignment="1">
      <alignment horizontal="center" vertical="top" wrapText="1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center" shrinkToFit="1"/>
    </xf>
    <xf numFmtId="164" fontId="2" fillId="2" borderId="1" xfId="0" applyNumberFormat="1" applyFont="1" applyFill="1" applyBorder="1" applyAlignment="1">
      <alignment horizontal="center" vertical="top"/>
    </xf>
    <xf numFmtId="49" fontId="4" fillId="2" borderId="1" xfId="0" applyNumberFormat="1" applyFont="1" applyFill="1" applyBorder="1" applyAlignment="1">
      <alignment horizontal="center" vertical="center" shrinkToFit="1"/>
    </xf>
    <xf numFmtId="0" fontId="8" fillId="2" borderId="0" xfId="0" applyFont="1" applyFill="1" applyAlignment="1">
      <alignment horizontal="left" vertical="top"/>
    </xf>
    <xf numFmtId="164" fontId="6" fillId="2" borderId="1" xfId="0" applyNumberFormat="1" applyFont="1" applyFill="1" applyBorder="1"/>
    <xf numFmtId="164" fontId="0" fillId="2" borderId="1" xfId="0" applyNumberFormat="1" applyFont="1" applyFill="1" applyBorder="1"/>
    <xf numFmtId="164" fontId="7" fillId="2" borderId="1" xfId="0" applyNumberFormat="1" applyFont="1" applyFill="1" applyBorder="1"/>
    <xf numFmtId="164" fontId="8" fillId="2" borderId="1" xfId="0" applyNumberFormat="1" applyFont="1" applyFill="1" applyBorder="1"/>
    <xf numFmtId="164" fontId="0" fillId="2" borderId="1" xfId="0" applyNumberFormat="1" applyFill="1" applyBorder="1"/>
    <xf numFmtId="164" fontId="0" fillId="0" borderId="1" xfId="0" applyNumberFormat="1" applyFont="1" applyFill="1" applyBorder="1"/>
    <xf numFmtId="164" fontId="0" fillId="0" borderId="1" xfId="0" applyNumberFormat="1" applyFill="1" applyBorder="1"/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abSelected="1" topLeftCell="A37" zoomScale="130" zoomScaleNormal="130" workbookViewId="0">
      <selection activeCell="E49" sqref="E49"/>
    </sheetView>
  </sheetViews>
  <sheetFormatPr defaultRowHeight="12.75" x14ac:dyDescent="0.2"/>
  <cols>
    <col min="1" max="1" width="53.6640625" style="5" customWidth="1"/>
    <col min="2" max="4" width="14.33203125" style="5" customWidth="1"/>
    <col min="5" max="5" width="15.5" style="2" customWidth="1"/>
    <col min="6" max="6" width="0.1640625" style="2" customWidth="1"/>
    <col min="7" max="7" width="16" style="2" customWidth="1"/>
    <col min="8" max="8" width="15.5" style="6" customWidth="1"/>
    <col min="9" max="9" width="13" style="4" customWidth="1"/>
    <col min="10" max="10" width="12.1640625" style="4" bestFit="1" customWidth="1"/>
    <col min="11" max="16384" width="9.33203125" style="4"/>
  </cols>
  <sheetData>
    <row r="1" spans="1:9" x14ac:dyDescent="0.2">
      <c r="A1" s="21" t="s">
        <v>0</v>
      </c>
      <c r="B1" s="21"/>
      <c r="C1" s="21"/>
      <c r="D1" s="21"/>
      <c r="E1" s="21"/>
      <c r="F1" s="21"/>
      <c r="G1" s="21"/>
      <c r="H1" s="21"/>
    </row>
    <row r="2" spans="1:9" ht="37.5" customHeight="1" x14ac:dyDescent="0.2">
      <c r="A2" s="21" t="s">
        <v>106</v>
      </c>
      <c r="B2" s="21"/>
      <c r="C2" s="21"/>
      <c r="D2" s="21"/>
      <c r="E2" s="21"/>
      <c r="F2" s="21"/>
      <c r="G2" s="21"/>
      <c r="H2" s="21"/>
    </row>
    <row r="3" spans="1:9" x14ac:dyDescent="0.2">
      <c r="A3" s="5" t="s">
        <v>1</v>
      </c>
    </row>
    <row r="4" spans="1:9" ht="45.75" customHeight="1" x14ac:dyDescent="0.2">
      <c r="A4" s="7" t="s">
        <v>2</v>
      </c>
      <c r="B4" s="8" t="s">
        <v>3</v>
      </c>
      <c r="C4" s="3" t="s">
        <v>95</v>
      </c>
      <c r="D4" s="3" t="s">
        <v>107</v>
      </c>
      <c r="E4" s="3" t="s">
        <v>100</v>
      </c>
      <c r="F4" s="3" t="s">
        <v>93</v>
      </c>
      <c r="G4" s="3" t="s">
        <v>108</v>
      </c>
      <c r="H4" s="3" t="s">
        <v>94</v>
      </c>
      <c r="I4" s="3" t="s">
        <v>101</v>
      </c>
    </row>
    <row r="5" spans="1:9" ht="15" x14ac:dyDescent="0.25">
      <c r="A5" s="9" t="s">
        <v>4</v>
      </c>
      <c r="B5" s="10" t="s">
        <v>5</v>
      </c>
      <c r="C5" s="14">
        <f>SUM(C6:C12)</f>
        <v>202196.01</v>
      </c>
      <c r="D5" s="14">
        <f t="shared" ref="D5:G5" si="0">SUM(D6:D12)</f>
        <v>124304.86</v>
      </c>
      <c r="E5" s="14">
        <f t="shared" si="0"/>
        <v>211850.76999999996</v>
      </c>
      <c r="F5" s="14">
        <f t="shared" si="0"/>
        <v>52962.69249999999</v>
      </c>
      <c r="G5" s="14">
        <f t="shared" si="0"/>
        <v>112001.41</v>
      </c>
      <c r="H5" s="11">
        <f>G5/E5*100</f>
        <v>52.868068404943735</v>
      </c>
      <c r="I5" s="11">
        <f>G5/D5*100</f>
        <v>90.102197130506397</v>
      </c>
    </row>
    <row r="6" spans="1:9" ht="45" x14ac:dyDescent="0.25">
      <c r="A6" s="8" t="s">
        <v>90</v>
      </c>
      <c r="B6" s="10" t="s">
        <v>89</v>
      </c>
      <c r="C6" s="15">
        <v>15168</v>
      </c>
      <c r="D6" s="16">
        <v>10540.3</v>
      </c>
      <c r="E6" s="15">
        <v>15897.62</v>
      </c>
      <c r="F6" s="16">
        <f t="shared" ref="F6:F54" si="1">E6/4</f>
        <v>3974.4050000000002</v>
      </c>
      <c r="G6" s="15">
        <v>10256.17</v>
      </c>
      <c r="H6" s="11">
        <f t="shared" ref="H6:H55" si="2">G6/E6*100</f>
        <v>64.513870629691738</v>
      </c>
      <c r="I6" s="11">
        <f t="shared" ref="I6:I55" si="3">G6/D6*100</f>
        <v>97.304346176105057</v>
      </c>
    </row>
    <row r="7" spans="1:9" ht="60" x14ac:dyDescent="0.25">
      <c r="A7" s="8" t="s">
        <v>6</v>
      </c>
      <c r="B7" s="10" t="s">
        <v>7</v>
      </c>
      <c r="C7" s="15">
        <v>4947</v>
      </c>
      <c r="D7" s="16">
        <v>2914.47</v>
      </c>
      <c r="E7" s="15">
        <v>4747</v>
      </c>
      <c r="F7" s="16">
        <f t="shared" si="1"/>
        <v>1186.75</v>
      </c>
      <c r="G7" s="15">
        <v>2714.29</v>
      </c>
      <c r="H7" s="11">
        <f t="shared" si="2"/>
        <v>57.179060459237405</v>
      </c>
      <c r="I7" s="11">
        <f t="shared" si="3"/>
        <v>93.131512762183178</v>
      </c>
    </row>
    <row r="8" spans="1:9" ht="60" x14ac:dyDescent="0.25">
      <c r="A8" s="8" t="s">
        <v>8</v>
      </c>
      <c r="B8" s="10" t="s">
        <v>9</v>
      </c>
      <c r="C8" s="15">
        <v>144966.24</v>
      </c>
      <c r="D8" s="16">
        <v>86201.42</v>
      </c>
      <c r="E8" s="15">
        <v>152694.24</v>
      </c>
      <c r="F8" s="16">
        <f t="shared" si="1"/>
        <v>38173.56</v>
      </c>
      <c r="G8" s="15">
        <v>79825.08</v>
      </c>
      <c r="H8" s="11">
        <f t="shared" si="2"/>
        <v>52.277728354389794</v>
      </c>
      <c r="I8" s="11">
        <f t="shared" si="3"/>
        <v>92.602975681839112</v>
      </c>
    </row>
    <row r="9" spans="1:9" ht="15" x14ac:dyDescent="0.25">
      <c r="A9" s="8" t="s">
        <v>102</v>
      </c>
      <c r="B9" s="10" t="s">
        <v>103</v>
      </c>
      <c r="C9" s="15">
        <v>0</v>
      </c>
      <c r="D9" s="16"/>
      <c r="E9" s="15">
        <v>31.24</v>
      </c>
      <c r="F9" s="16">
        <f t="shared" si="1"/>
        <v>7.81</v>
      </c>
      <c r="G9" s="15"/>
      <c r="H9" s="11">
        <f t="shared" si="2"/>
        <v>0</v>
      </c>
      <c r="I9" s="11">
        <v>0</v>
      </c>
    </row>
    <row r="10" spans="1:9" ht="30" x14ac:dyDescent="0.25">
      <c r="A10" s="8" t="s">
        <v>10</v>
      </c>
      <c r="B10" s="10" t="s">
        <v>11</v>
      </c>
      <c r="C10" s="15">
        <v>2136.6999999999998</v>
      </c>
      <c r="D10" s="16">
        <v>2136.6999999999998</v>
      </c>
      <c r="E10" s="15">
        <v>3093</v>
      </c>
      <c r="F10" s="16">
        <f t="shared" si="1"/>
        <v>773.25</v>
      </c>
      <c r="G10" s="15">
        <v>3093</v>
      </c>
      <c r="H10" s="11">
        <f t="shared" si="2"/>
        <v>100</v>
      </c>
      <c r="I10" s="11">
        <f t="shared" si="3"/>
        <v>144.75593204474191</v>
      </c>
    </row>
    <row r="11" spans="1:9" ht="15" x14ac:dyDescent="0.25">
      <c r="A11" s="8" t="s">
        <v>12</v>
      </c>
      <c r="B11" s="10" t="s">
        <v>13</v>
      </c>
      <c r="C11" s="15">
        <v>800</v>
      </c>
      <c r="D11" s="16">
        <v>0</v>
      </c>
      <c r="E11" s="15">
        <v>800</v>
      </c>
      <c r="F11" s="16">
        <f t="shared" si="1"/>
        <v>200</v>
      </c>
      <c r="G11" s="15"/>
      <c r="H11" s="11">
        <f t="shared" si="2"/>
        <v>0</v>
      </c>
      <c r="I11" s="11" t="e">
        <f t="shared" si="3"/>
        <v>#DIV/0!</v>
      </c>
    </row>
    <row r="12" spans="1:9" ht="15" x14ac:dyDescent="0.25">
      <c r="A12" s="8" t="s">
        <v>14</v>
      </c>
      <c r="B12" s="10" t="s">
        <v>15</v>
      </c>
      <c r="C12" s="15">
        <v>34178.07</v>
      </c>
      <c r="D12" s="16">
        <v>22511.97</v>
      </c>
      <c r="E12" s="15">
        <f>34937.67-350</f>
        <v>34587.67</v>
      </c>
      <c r="F12" s="16">
        <f t="shared" si="1"/>
        <v>8646.9174999999996</v>
      </c>
      <c r="G12" s="15">
        <f>16462.87-350</f>
        <v>16112.869999999999</v>
      </c>
      <c r="H12" s="11">
        <f t="shared" si="2"/>
        <v>46.585589604619216</v>
      </c>
      <c r="I12" s="11">
        <f t="shared" si="3"/>
        <v>71.5746778269516</v>
      </c>
    </row>
    <row r="13" spans="1:9" ht="15" x14ac:dyDescent="0.25">
      <c r="A13" s="9" t="s">
        <v>16</v>
      </c>
      <c r="B13" s="10" t="s">
        <v>17</v>
      </c>
      <c r="C13" s="14">
        <f>C14</f>
        <v>1853.5</v>
      </c>
      <c r="D13" s="14">
        <f t="shared" ref="D13:G13" si="4">D14</f>
        <v>1340.81</v>
      </c>
      <c r="E13" s="14">
        <f t="shared" si="4"/>
        <v>2021.2</v>
      </c>
      <c r="F13" s="14">
        <f t="shared" si="4"/>
        <v>505.3</v>
      </c>
      <c r="G13" s="14">
        <f t="shared" si="4"/>
        <v>1416.69</v>
      </c>
      <c r="H13" s="11">
        <f t="shared" si="2"/>
        <v>70.091529784286564</v>
      </c>
      <c r="I13" s="11">
        <f t="shared" si="3"/>
        <v>105.659265667768</v>
      </c>
    </row>
    <row r="14" spans="1:9" ht="15" x14ac:dyDescent="0.25">
      <c r="A14" s="8" t="s">
        <v>18</v>
      </c>
      <c r="B14" s="10" t="s">
        <v>19</v>
      </c>
      <c r="C14" s="15">
        <f>3707-1853.5</f>
        <v>1853.5</v>
      </c>
      <c r="D14" s="16">
        <f>2730.94-1390.13</f>
        <v>1340.81</v>
      </c>
      <c r="E14" s="15">
        <f>4042.4-2021.2</f>
        <v>2021.2</v>
      </c>
      <c r="F14" s="16">
        <f t="shared" si="1"/>
        <v>505.3</v>
      </c>
      <c r="G14" s="15">
        <f>2932.59-1515.9</f>
        <v>1416.69</v>
      </c>
      <c r="H14" s="11">
        <f t="shared" si="2"/>
        <v>70.091529784286564</v>
      </c>
      <c r="I14" s="11">
        <f t="shared" si="3"/>
        <v>105.659265667768</v>
      </c>
    </row>
    <row r="15" spans="1:9" ht="42.75" x14ac:dyDescent="0.25">
      <c r="A15" s="9" t="s">
        <v>20</v>
      </c>
      <c r="B15" s="10" t="s">
        <v>21</v>
      </c>
      <c r="C15" s="14">
        <f>SUM(C16:C18)</f>
        <v>17351.39</v>
      </c>
      <c r="D15" s="14">
        <f t="shared" ref="D15:G15" si="5">SUM(D16:D18)</f>
        <v>11993.990000000002</v>
      </c>
      <c r="E15" s="14">
        <f t="shared" si="5"/>
        <v>22122.15</v>
      </c>
      <c r="F15" s="14">
        <f t="shared" si="5"/>
        <v>5530.5375000000004</v>
      </c>
      <c r="G15" s="14">
        <f t="shared" si="5"/>
        <v>12855.400000000001</v>
      </c>
      <c r="H15" s="11">
        <f t="shared" si="2"/>
        <v>58.110988308098442</v>
      </c>
      <c r="I15" s="11">
        <f t="shared" si="3"/>
        <v>107.1820136585073</v>
      </c>
    </row>
    <row r="16" spans="1:9" ht="45" x14ac:dyDescent="0.25">
      <c r="A16" s="8" t="s">
        <v>22</v>
      </c>
      <c r="B16" s="10" t="s">
        <v>23</v>
      </c>
      <c r="C16" s="15">
        <v>3244</v>
      </c>
      <c r="D16" s="16">
        <v>2125.62</v>
      </c>
      <c r="E16" s="15">
        <v>4548</v>
      </c>
      <c r="F16" s="16">
        <f t="shared" si="1"/>
        <v>1137</v>
      </c>
      <c r="G16" s="15">
        <v>2342.62</v>
      </c>
      <c r="H16" s="11">
        <f t="shared" si="2"/>
        <v>51.508795074758126</v>
      </c>
      <c r="I16" s="11">
        <f t="shared" si="3"/>
        <v>110.20878614239611</v>
      </c>
    </row>
    <row r="17" spans="1:9" ht="15" x14ac:dyDescent="0.25">
      <c r="A17" s="8" t="s">
        <v>91</v>
      </c>
      <c r="B17" s="10" t="s">
        <v>92</v>
      </c>
      <c r="C17" s="15">
        <v>14107.39</v>
      </c>
      <c r="D17" s="16">
        <v>9868.3700000000008</v>
      </c>
      <c r="E17" s="15">
        <v>14439.75</v>
      </c>
      <c r="F17" s="16">
        <f t="shared" si="1"/>
        <v>3609.9375</v>
      </c>
      <c r="G17" s="15">
        <v>10512.78</v>
      </c>
      <c r="H17" s="11">
        <f t="shared" si="2"/>
        <v>72.804446060354238</v>
      </c>
      <c r="I17" s="11">
        <f t="shared" si="3"/>
        <v>106.53005511548513</v>
      </c>
    </row>
    <row r="18" spans="1:9" ht="45" x14ac:dyDescent="0.25">
      <c r="A18" s="8" t="s">
        <v>24</v>
      </c>
      <c r="B18" s="10" t="s">
        <v>25</v>
      </c>
      <c r="C18" s="15">
        <v>0</v>
      </c>
      <c r="D18" s="16">
        <f t="shared" ref="D18" si="6">C18/4</f>
        <v>0</v>
      </c>
      <c r="E18" s="15">
        <v>3134.4</v>
      </c>
      <c r="F18" s="16">
        <f t="shared" si="1"/>
        <v>783.6</v>
      </c>
      <c r="G18" s="15"/>
      <c r="H18" s="11"/>
      <c r="I18" s="11"/>
    </row>
    <row r="19" spans="1:9" ht="15" x14ac:dyDescent="0.25">
      <c r="A19" s="9" t="s">
        <v>26</v>
      </c>
      <c r="B19" s="10" t="s">
        <v>27</v>
      </c>
      <c r="C19" s="14">
        <f>SUM(C20:C24)</f>
        <v>232276.04</v>
      </c>
      <c r="D19" s="14">
        <f t="shared" ref="D19:G19" si="7">SUM(D20:D24)</f>
        <v>109765.54999999999</v>
      </c>
      <c r="E19" s="14">
        <f t="shared" si="7"/>
        <v>230629.37</v>
      </c>
      <c r="F19" s="14">
        <f t="shared" si="7"/>
        <v>57657.342499999999</v>
      </c>
      <c r="G19" s="14">
        <f t="shared" si="7"/>
        <v>126190.65999999999</v>
      </c>
      <c r="H19" s="11">
        <f t="shared" si="2"/>
        <v>54.715780561686479</v>
      </c>
      <c r="I19" s="11">
        <f t="shared" si="3"/>
        <v>114.96381150552246</v>
      </c>
    </row>
    <row r="20" spans="1:9" ht="15" hidden="1" x14ac:dyDescent="0.25">
      <c r="A20" s="8" t="s">
        <v>28</v>
      </c>
      <c r="B20" s="10" t="s">
        <v>29</v>
      </c>
      <c r="C20" s="15">
        <v>0</v>
      </c>
      <c r="D20" s="16">
        <v>0</v>
      </c>
      <c r="E20" s="15"/>
      <c r="F20" s="16">
        <f t="shared" si="1"/>
        <v>0</v>
      </c>
      <c r="G20" s="15"/>
      <c r="H20" s="11"/>
      <c r="I20" s="11"/>
    </row>
    <row r="21" spans="1:9" ht="15" x14ac:dyDescent="0.25">
      <c r="A21" s="8" t="s">
        <v>30</v>
      </c>
      <c r="B21" s="10" t="s">
        <v>31</v>
      </c>
      <c r="C21" s="15">
        <v>11241.6</v>
      </c>
      <c r="D21" s="16">
        <v>3744.11</v>
      </c>
      <c r="E21" s="15">
        <v>18263.5</v>
      </c>
      <c r="F21" s="16">
        <f t="shared" si="1"/>
        <v>4565.875</v>
      </c>
      <c r="G21" s="15">
        <v>5989.87</v>
      </c>
      <c r="H21" s="11">
        <f t="shared" si="2"/>
        <v>32.796944725819252</v>
      </c>
      <c r="I21" s="11">
        <f t="shared" si="3"/>
        <v>159.98114371639721</v>
      </c>
    </row>
    <row r="22" spans="1:9" ht="15" x14ac:dyDescent="0.25">
      <c r="A22" s="8" t="s">
        <v>32</v>
      </c>
      <c r="B22" s="10" t="s">
        <v>33</v>
      </c>
      <c r="C22" s="15">
        <v>270</v>
      </c>
      <c r="D22" s="16">
        <v>270</v>
      </c>
      <c r="E22" s="15">
        <v>422</v>
      </c>
      <c r="F22" s="16">
        <f t="shared" si="1"/>
        <v>105.5</v>
      </c>
      <c r="G22" s="15">
        <v>394.18</v>
      </c>
      <c r="H22" s="11">
        <f t="shared" si="2"/>
        <v>93.407582938388629</v>
      </c>
      <c r="I22" s="11"/>
    </row>
    <row r="23" spans="1:9" ht="15" x14ac:dyDescent="0.25">
      <c r="A23" s="8" t="s">
        <v>34</v>
      </c>
      <c r="B23" s="10" t="s">
        <v>35</v>
      </c>
      <c r="C23" s="15">
        <f>214120.97-23737.97</f>
        <v>190383</v>
      </c>
      <c r="D23" s="16">
        <f>97829.54-5704.38</f>
        <v>92125.159999999989</v>
      </c>
      <c r="E23" s="15">
        <f>242190.55-50677.72</f>
        <v>191512.83</v>
      </c>
      <c r="F23" s="16">
        <f t="shared" si="1"/>
        <v>47878.207499999997</v>
      </c>
      <c r="G23" s="15">
        <f>141442.02-27341.6</f>
        <v>114100.41999999998</v>
      </c>
      <c r="H23" s="11">
        <f t="shared" si="2"/>
        <v>59.578473149814549</v>
      </c>
      <c r="I23" s="11">
        <f t="shared" si="3"/>
        <v>123.85370076969203</v>
      </c>
    </row>
    <row r="24" spans="1:9" ht="30" x14ac:dyDescent="0.25">
      <c r="A24" s="8" t="s">
        <v>36</v>
      </c>
      <c r="B24" s="10" t="s">
        <v>37</v>
      </c>
      <c r="C24" s="15">
        <f>39581.44-9200</f>
        <v>30381.440000000002</v>
      </c>
      <c r="D24" s="16">
        <f>21798.61-8172.33</f>
        <v>13626.28</v>
      </c>
      <c r="E24" s="15">
        <f>23431.04-3000</f>
        <v>20431.04</v>
      </c>
      <c r="F24" s="16">
        <f t="shared" si="1"/>
        <v>5107.76</v>
      </c>
      <c r="G24" s="15">
        <f>7449.43-1743.24</f>
        <v>5706.1900000000005</v>
      </c>
      <c r="H24" s="11">
        <f t="shared" si="2"/>
        <v>27.929023681613856</v>
      </c>
      <c r="I24" s="11">
        <f t="shared" si="3"/>
        <v>41.876359505308862</v>
      </c>
    </row>
    <row r="25" spans="1:9" ht="28.5" x14ac:dyDescent="0.25">
      <c r="A25" s="9" t="s">
        <v>38</v>
      </c>
      <c r="B25" s="10" t="s">
        <v>39</v>
      </c>
      <c r="C25" s="14">
        <f>SUM(C26:C29)</f>
        <v>293640.01</v>
      </c>
      <c r="D25" s="14">
        <f t="shared" ref="D25:G25" si="8">SUM(D26:D29)</f>
        <v>103294.26000000001</v>
      </c>
      <c r="E25" s="14">
        <f t="shared" si="8"/>
        <v>424946.93</v>
      </c>
      <c r="F25" s="14">
        <f t="shared" si="8"/>
        <v>106236.7325</v>
      </c>
      <c r="G25" s="14">
        <f t="shared" si="8"/>
        <v>146730.94</v>
      </c>
      <c r="H25" s="11">
        <f t="shared" si="2"/>
        <v>34.529238745176961</v>
      </c>
      <c r="I25" s="11">
        <f t="shared" si="3"/>
        <v>142.0513976284839</v>
      </c>
    </row>
    <row r="26" spans="1:9" ht="15" x14ac:dyDescent="0.25">
      <c r="A26" s="8" t="s">
        <v>40</v>
      </c>
      <c r="B26" s="10" t="s">
        <v>41</v>
      </c>
      <c r="C26" s="15">
        <f>17089.28-2971.4</f>
        <v>14117.88</v>
      </c>
      <c r="D26" s="16">
        <v>8673.51</v>
      </c>
      <c r="E26" s="15">
        <f>5075.76-828.19</f>
        <v>4247.57</v>
      </c>
      <c r="F26" s="16">
        <f t="shared" si="1"/>
        <v>1061.8924999999999</v>
      </c>
      <c r="G26" s="15">
        <f>4075.6-828.19</f>
        <v>3247.41</v>
      </c>
      <c r="H26" s="11">
        <f t="shared" si="2"/>
        <v>76.453360391941743</v>
      </c>
      <c r="I26" s="11">
        <f t="shared" si="3"/>
        <v>37.440551748945929</v>
      </c>
    </row>
    <row r="27" spans="1:9" ht="15" x14ac:dyDescent="0.25">
      <c r="A27" s="8" t="s">
        <v>42</v>
      </c>
      <c r="B27" s="10" t="s">
        <v>43</v>
      </c>
      <c r="C27" s="15">
        <f>102369.36-300</f>
        <v>102069.36</v>
      </c>
      <c r="D27" s="16">
        <v>19015.900000000001</v>
      </c>
      <c r="E27" s="15">
        <f>88422.86-1039</f>
        <v>87383.86</v>
      </c>
      <c r="F27" s="16">
        <f t="shared" si="1"/>
        <v>21845.965</v>
      </c>
      <c r="G27" s="15">
        <f>53744.23-989</f>
        <v>52755.23</v>
      </c>
      <c r="H27" s="11">
        <f t="shared" si="2"/>
        <v>60.371823812772753</v>
      </c>
      <c r="I27" s="11">
        <f t="shared" si="3"/>
        <v>277.42694271635838</v>
      </c>
    </row>
    <row r="28" spans="1:9" ht="15" x14ac:dyDescent="0.25">
      <c r="A28" s="8" t="s">
        <v>44</v>
      </c>
      <c r="B28" s="10" t="s">
        <v>45</v>
      </c>
      <c r="C28" s="15">
        <f>259364.03-85826.72</f>
        <v>173537.31</v>
      </c>
      <c r="D28" s="16">
        <f>126482.31-54228.52</f>
        <v>72253.790000000008</v>
      </c>
      <c r="E28" s="15">
        <f>571090.34-241383.84</f>
        <v>329706.5</v>
      </c>
      <c r="F28" s="16">
        <f t="shared" si="1"/>
        <v>82426.625</v>
      </c>
      <c r="G28" s="15">
        <f>125894.92-37873.37</f>
        <v>88021.549999999988</v>
      </c>
      <c r="H28" s="11">
        <f t="shared" si="2"/>
        <v>26.696941067282566</v>
      </c>
      <c r="I28" s="11">
        <f t="shared" si="3"/>
        <v>121.82274452315924</v>
      </c>
    </row>
    <row r="29" spans="1:9" ht="30" x14ac:dyDescent="0.25">
      <c r="A29" s="8" t="s">
        <v>46</v>
      </c>
      <c r="B29" s="10" t="s">
        <v>47</v>
      </c>
      <c r="C29" s="15">
        <f>10282.49-6367.03</f>
        <v>3915.46</v>
      </c>
      <c r="D29" s="16">
        <f>7960.09-4609.03</f>
        <v>3351.0600000000004</v>
      </c>
      <c r="E29" s="15">
        <v>3609</v>
      </c>
      <c r="F29" s="16">
        <f t="shared" si="1"/>
        <v>902.25</v>
      </c>
      <c r="G29" s="15">
        <v>2706.75</v>
      </c>
      <c r="H29" s="11">
        <f t="shared" si="2"/>
        <v>75</v>
      </c>
      <c r="I29" s="11">
        <f t="shared" si="3"/>
        <v>80.772949454799374</v>
      </c>
    </row>
    <row r="30" spans="1:9" s="13" customFormat="1" ht="14.25" x14ac:dyDescent="0.2">
      <c r="A30" s="9" t="s">
        <v>96</v>
      </c>
      <c r="B30" s="12" t="s">
        <v>98</v>
      </c>
      <c r="C30" s="17">
        <f>C31</f>
        <v>14777.830000000002</v>
      </c>
      <c r="D30" s="17">
        <f t="shared" ref="D30:G30" si="9">D31</f>
        <v>6432.57</v>
      </c>
      <c r="E30" s="17">
        <f t="shared" si="9"/>
        <v>16889.27</v>
      </c>
      <c r="F30" s="17">
        <f t="shared" si="9"/>
        <v>0</v>
      </c>
      <c r="G30" s="17">
        <f t="shared" si="9"/>
        <v>15781.9</v>
      </c>
      <c r="H30" s="11">
        <f t="shared" ref="H30:H31" si="10">G30/E30*100</f>
        <v>93.443351903309022</v>
      </c>
      <c r="I30" s="11">
        <f t="shared" si="3"/>
        <v>245.34361849152049</v>
      </c>
    </row>
    <row r="31" spans="1:9" ht="15" x14ac:dyDescent="0.25">
      <c r="A31" s="8" t="s">
        <v>97</v>
      </c>
      <c r="B31" s="10" t="s">
        <v>99</v>
      </c>
      <c r="C31" s="18">
        <f>19517.83-4740</f>
        <v>14777.830000000002</v>
      </c>
      <c r="D31" s="16">
        <f>10347.57-3915</f>
        <v>6432.57</v>
      </c>
      <c r="E31" s="15">
        <f>26069.27-9180</f>
        <v>16889.27</v>
      </c>
      <c r="F31" s="16"/>
      <c r="G31" s="15">
        <f>24019.89-8237.99</f>
        <v>15781.9</v>
      </c>
      <c r="H31" s="11">
        <f t="shared" si="10"/>
        <v>93.443351903309022</v>
      </c>
      <c r="I31" s="11">
        <f t="shared" si="3"/>
        <v>245.34361849152049</v>
      </c>
    </row>
    <row r="32" spans="1:9" ht="15" x14ac:dyDescent="0.25">
      <c r="A32" s="9" t="s">
        <v>48</v>
      </c>
      <c r="B32" s="10" t="s">
        <v>49</v>
      </c>
      <c r="C32" s="14">
        <f>SUM(C33:C38)</f>
        <v>1153772.8500000001</v>
      </c>
      <c r="D32" s="14">
        <f t="shared" ref="D32:G32" si="11">SUM(D33:D38)</f>
        <v>826824.3</v>
      </c>
      <c r="E32" s="14">
        <f t="shared" si="11"/>
        <v>1211393.75</v>
      </c>
      <c r="F32" s="14">
        <f t="shared" si="11"/>
        <v>294267.00750000001</v>
      </c>
      <c r="G32" s="14">
        <f t="shared" si="11"/>
        <v>796059.85000000009</v>
      </c>
      <c r="H32" s="11">
        <f t="shared" si="2"/>
        <v>65.714376518782615</v>
      </c>
      <c r="I32" s="11">
        <f t="shared" si="3"/>
        <v>96.27920345350276</v>
      </c>
    </row>
    <row r="33" spans="1:9" ht="15" x14ac:dyDescent="0.25">
      <c r="A33" s="8" t="s">
        <v>50</v>
      </c>
      <c r="B33" s="10" t="s">
        <v>51</v>
      </c>
      <c r="C33" s="18">
        <v>392687.53</v>
      </c>
      <c r="D33" s="16">
        <v>275474.11</v>
      </c>
      <c r="E33" s="15">
        <v>400106.87</v>
      </c>
      <c r="F33" s="16">
        <f t="shared" si="1"/>
        <v>100026.7175</v>
      </c>
      <c r="G33" s="15">
        <v>264957.33</v>
      </c>
      <c r="H33" s="11">
        <f t="shared" si="2"/>
        <v>66.221639733404231</v>
      </c>
      <c r="I33" s="11">
        <f t="shared" si="3"/>
        <v>96.18229822033004</v>
      </c>
    </row>
    <row r="34" spans="1:9" ht="15" x14ac:dyDescent="0.25">
      <c r="A34" s="8" t="s">
        <v>52</v>
      </c>
      <c r="B34" s="10" t="s">
        <v>53</v>
      </c>
      <c r="C34" s="18">
        <v>585490.42000000004</v>
      </c>
      <c r="D34" s="16">
        <v>413974.87</v>
      </c>
      <c r="E34" s="15">
        <v>629505.27</v>
      </c>
      <c r="F34" s="16">
        <f t="shared" si="1"/>
        <v>157376.3175</v>
      </c>
      <c r="G34" s="15">
        <v>407462.9</v>
      </c>
      <c r="H34" s="11">
        <f t="shared" si="2"/>
        <v>64.727480359298667</v>
      </c>
      <c r="I34" s="11">
        <f t="shared" si="3"/>
        <v>98.426964902483093</v>
      </c>
    </row>
    <row r="35" spans="1:9" ht="15.75" x14ac:dyDescent="0.25">
      <c r="A35" s="1" t="s">
        <v>54</v>
      </c>
      <c r="B35" s="10" t="s">
        <v>55</v>
      </c>
      <c r="C35" s="18">
        <v>104680.2</v>
      </c>
      <c r="D35" s="16">
        <v>84181.07</v>
      </c>
      <c r="E35" s="15">
        <v>107497.09</v>
      </c>
      <c r="F35" s="16">
        <f t="shared" si="1"/>
        <v>26874.272499999999</v>
      </c>
      <c r="G35" s="15">
        <v>84744.14</v>
      </c>
      <c r="H35" s="11">
        <f t="shared" si="2"/>
        <v>78.833892154662038</v>
      </c>
      <c r="I35" s="11">
        <f t="shared" si="3"/>
        <v>100.66887959490178</v>
      </c>
    </row>
    <row r="36" spans="1:9" ht="15" hidden="1" x14ac:dyDescent="0.25">
      <c r="A36" s="8"/>
      <c r="B36" s="10"/>
      <c r="C36" s="18"/>
      <c r="D36" s="16"/>
      <c r="E36" s="15"/>
      <c r="F36" s="16"/>
      <c r="G36" s="15"/>
      <c r="H36" s="11"/>
      <c r="I36" s="11"/>
    </row>
    <row r="37" spans="1:9" ht="15" x14ac:dyDescent="0.25">
      <c r="A37" s="8" t="s">
        <v>56</v>
      </c>
      <c r="B37" s="10" t="s">
        <v>57</v>
      </c>
      <c r="C37" s="18">
        <v>34507.199999999997</v>
      </c>
      <c r="D37" s="16">
        <v>31537.42</v>
      </c>
      <c r="E37" s="15">
        <v>34325.72</v>
      </c>
      <c r="F37" s="16">
        <v>0</v>
      </c>
      <c r="G37" s="15">
        <v>17748.169999999998</v>
      </c>
      <c r="H37" s="11">
        <f t="shared" si="2"/>
        <v>51.705164523861399</v>
      </c>
      <c r="I37" s="11">
        <f t="shared" si="3"/>
        <v>56.276543864399805</v>
      </c>
    </row>
    <row r="38" spans="1:9" ht="15" x14ac:dyDescent="0.25">
      <c r="A38" s="8" t="s">
        <v>58</v>
      </c>
      <c r="B38" s="10" t="s">
        <v>59</v>
      </c>
      <c r="C38" s="18">
        <v>36407.5</v>
      </c>
      <c r="D38" s="16">
        <v>21656.83</v>
      </c>
      <c r="E38" s="15">
        <v>39958.800000000003</v>
      </c>
      <c r="F38" s="16">
        <f t="shared" si="1"/>
        <v>9989.7000000000007</v>
      </c>
      <c r="G38" s="15">
        <v>21147.31</v>
      </c>
      <c r="H38" s="11">
        <f t="shared" si="2"/>
        <v>52.922785469033109</v>
      </c>
      <c r="I38" s="11">
        <f t="shared" si="3"/>
        <v>97.647301105471115</v>
      </c>
    </row>
    <row r="39" spans="1:9" ht="15" x14ac:dyDescent="0.25">
      <c r="A39" s="9" t="s">
        <v>60</v>
      </c>
      <c r="B39" s="10" t="s">
        <v>61</v>
      </c>
      <c r="C39" s="14">
        <f>SUM(C40:C41)</f>
        <v>128060.57999999999</v>
      </c>
      <c r="D39" s="14">
        <f t="shared" ref="D39:G39" si="12">SUM(D40:D41)</f>
        <v>105946.31</v>
      </c>
      <c r="E39" s="14">
        <f t="shared" si="12"/>
        <v>125528.87000000001</v>
      </c>
      <c r="F39" s="14">
        <f t="shared" si="12"/>
        <v>31382.217500000002</v>
      </c>
      <c r="G39" s="14">
        <f t="shared" si="12"/>
        <v>98222.700000000012</v>
      </c>
      <c r="H39" s="11">
        <f t="shared" si="2"/>
        <v>78.247099651259504</v>
      </c>
      <c r="I39" s="11">
        <f t="shared" si="3"/>
        <v>92.709882958641984</v>
      </c>
    </row>
    <row r="40" spans="1:9" ht="15" x14ac:dyDescent="0.25">
      <c r="A40" s="8" t="s">
        <v>62</v>
      </c>
      <c r="B40" s="10" t="s">
        <v>63</v>
      </c>
      <c r="C40" s="18">
        <f>144815.58-16755</f>
        <v>128060.57999999999</v>
      </c>
      <c r="D40" s="16">
        <f>115698.91-9752.6</f>
        <v>105946.31</v>
      </c>
      <c r="E40" s="15">
        <f>137027.07-11498.2</f>
        <v>125528.87000000001</v>
      </c>
      <c r="F40" s="16">
        <f t="shared" si="1"/>
        <v>31382.217500000002</v>
      </c>
      <c r="G40" s="15">
        <f>106145.1-7922.4</f>
        <v>98222.700000000012</v>
      </c>
      <c r="H40" s="11">
        <f t="shared" si="2"/>
        <v>78.247099651259504</v>
      </c>
      <c r="I40" s="11">
        <f t="shared" si="3"/>
        <v>92.709882958641984</v>
      </c>
    </row>
    <row r="41" spans="1:9" ht="15" hidden="1" x14ac:dyDescent="0.25">
      <c r="A41" s="8"/>
      <c r="B41" s="10"/>
      <c r="C41" s="18"/>
      <c r="D41" s="16"/>
      <c r="E41" s="15"/>
      <c r="F41" s="16"/>
      <c r="G41" s="15"/>
      <c r="H41" s="11"/>
      <c r="I41" s="11"/>
    </row>
    <row r="42" spans="1:9" ht="15" x14ac:dyDescent="0.25">
      <c r="A42" s="9" t="s">
        <v>64</v>
      </c>
      <c r="B42" s="10" t="s">
        <v>65</v>
      </c>
      <c r="C42" s="14">
        <f>SUM(C43:C45)</f>
        <v>127699.24</v>
      </c>
      <c r="D42" s="14">
        <f t="shared" ref="D42:G42" si="13">SUM(D43:D45)</f>
        <v>83710.360000000015</v>
      </c>
      <c r="E42" s="14">
        <f t="shared" si="13"/>
        <v>105906.75</v>
      </c>
      <c r="F42" s="14">
        <f t="shared" si="13"/>
        <v>26476.6875</v>
      </c>
      <c r="G42" s="14">
        <f t="shared" si="13"/>
        <v>62837.31</v>
      </c>
      <c r="H42" s="11">
        <f t="shared" si="2"/>
        <v>59.332677095652542</v>
      </c>
      <c r="I42" s="11">
        <f t="shared" si="3"/>
        <v>75.06515322595672</v>
      </c>
    </row>
    <row r="43" spans="1:9" ht="15" x14ac:dyDescent="0.25">
      <c r="A43" s="8" t="s">
        <v>66</v>
      </c>
      <c r="B43" s="10" t="s">
        <v>67</v>
      </c>
      <c r="C43" s="18">
        <f>817-244</f>
        <v>573</v>
      </c>
      <c r="D43" s="16">
        <f>698.77-244</f>
        <v>454.77</v>
      </c>
      <c r="E43" s="15">
        <f>826.37-248.18</f>
        <v>578.19000000000005</v>
      </c>
      <c r="F43" s="16">
        <f t="shared" si="1"/>
        <v>144.54750000000001</v>
      </c>
      <c r="G43" s="15">
        <f>571.06-161.65</f>
        <v>409.40999999999997</v>
      </c>
      <c r="H43" s="11">
        <f t="shared" si="2"/>
        <v>70.808903647589887</v>
      </c>
      <c r="I43" s="11">
        <f t="shared" si="3"/>
        <v>90.025727290718379</v>
      </c>
    </row>
    <row r="44" spans="1:9" ht="15" x14ac:dyDescent="0.25">
      <c r="A44" s="8" t="s">
        <v>68</v>
      </c>
      <c r="B44" s="10" t="s">
        <v>69</v>
      </c>
      <c r="C44" s="18">
        <v>20966.689999999999</v>
      </c>
      <c r="D44" s="16">
        <v>15561.02</v>
      </c>
      <c r="E44" s="19">
        <v>7625</v>
      </c>
      <c r="F44" s="16">
        <f t="shared" si="1"/>
        <v>1906.25</v>
      </c>
      <c r="G44" s="15">
        <v>7621.93</v>
      </c>
      <c r="H44" s="11">
        <f t="shared" si="2"/>
        <v>99.959737704918041</v>
      </c>
      <c r="I44" s="11">
        <f t="shared" si="3"/>
        <v>48.980915132812633</v>
      </c>
    </row>
    <row r="45" spans="1:9" ht="15" x14ac:dyDescent="0.25">
      <c r="A45" s="8" t="s">
        <v>70</v>
      </c>
      <c r="B45" s="10" t="s">
        <v>71</v>
      </c>
      <c r="C45" s="20">
        <v>106159.55</v>
      </c>
      <c r="D45" s="16">
        <v>67694.570000000007</v>
      </c>
      <c r="E45" s="15">
        <v>97703.56</v>
      </c>
      <c r="F45" s="16">
        <f t="shared" si="1"/>
        <v>24425.89</v>
      </c>
      <c r="G45" s="15">
        <v>54805.97</v>
      </c>
      <c r="H45" s="11">
        <f t="shared" si="2"/>
        <v>56.094138227921277</v>
      </c>
      <c r="I45" s="11">
        <f t="shared" si="3"/>
        <v>80.960659030702161</v>
      </c>
    </row>
    <row r="46" spans="1:9" ht="15" x14ac:dyDescent="0.25">
      <c r="A46" s="9" t="s">
        <v>72</v>
      </c>
      <c r="B46" s="10" t="s">
        <v>73</v>
      </c>
      <c r="C46" s="14">
        <f>C47</f>
        <v>54089.3</v>
      </c>
      <c r="D46" s="14">
        <f t="shared" ref="D46:G46" si="14">D47</f>
        <v>43606.7</v>
      </c>
      <c r="E46" s="14">
        <f t="shared" si="14"/>
        <v>55832.3</v>
      </c>
      <c r="F46" s="14">
        <f t="shared" si="14"/>
        <v>13958.075000000001</v>
      </c>
      <c r="G46" s="14">
        <f t="shared" si="14"/>
        <v>35444.300000000003</v>
      </c>
      <c r="H46" s="11">
        <f t="shared" si="2"/>
        <v>63.483503276777064</v>
      </c>
      <c r="I46" s="11">
        <f t="shared" si="3"/>
        <v>81.281775506974867</v>
      </c>
    </row>
    <row r="47" spans="1:9" ht="15" x14ac:dyDescent="0.25">
      <c r="A47" s="8" t="s">
        <v>74</v>
      </c>
      <c r="B47" s="10" t="s">
        <v>75</v>
      </c>
      <c r="C47" s="18">
        <f>71866.3-17777</f>
        <v>54089.3</v>
      </c>
      <c r="D47" s="16">
        <f>59607.7-16001</f>
        <v>43606.7</v>
      </c>
      <c r="E47" s="15">
        <v>55832.3</v>
      </c>
      <c r="F47" s="16">
        <f t="shared" si="1"/>
        <v>13958.075000000001</v>
      </c>
      <c r="G47" s="15">
        <v>35444.300000000003</v>
      </c>
      <c r="H47" s="11">
        <f t="shared" si="2"/>
        <v>63.483503276777064</v>
      </c>
      <c r="I47" s="11">
        <f t="shared" si="3"/>
        <v>81.281775506974867</v>
      </c>
    </row>
    <row r="48" spans="1:9" ht="15" x14ac:dyDescent="0.25">
      <c r="A48" s="8" t="s">
        <v>104</v>
      </c>
      <c r="B48" s="10" t="s">
        <v>105</v>
      </c>
      <c r="C48" s="14"/>
      <c r="D48" s="16"/>
      <c r="E48" s="15">
        <v>345.1</v>
      </c>
      <c r="F48" s="16">
        <f t="shared" si="1"/>
        <v>86.275000000000006</v>
      </c>
      <c r="G48" s="15"/>
      <c r="H48" s="11"/>
      <c r="I48" s="11"/>
    </row>
    <row r="49" spans="1:9" ht="28.5" x14ac:dyDescent="0.25">
      <c r="A49" s="9" t="s">
        <v>76</v>
      </c>
      <c r="B49" s="10" t="s">
        <v>77</v>
      </c>
      <c r="C49" s="14">
        <f>SUM(C50:C51)</f>
        <v>4900.8</v>
      </c>
      <c r="D49" s="14">
        <f t="shared" ref="D49:G49" si="15">SUM(D50:D51)</f>
        <v>3095.2200000000003</v>
      </c>
      <c r="E49" s="14">
        <f t="shared" si="15"/>
        <v>5062</v>
      </c>
      <c r="F49" s="14">
        <f t="shared" si="15"/>
        <v>1265.5</v>
      </c>
      <c r="G49" s="14">
        <f t="shared" si="15"/>
        <v>2991.43</v>
      </c>
      <c r="H49" s="11">
        <f t="shared" si="2"/>
        <v>59.095811932042665</v>
      </c>
      <c r="I49" s="11">
        <f t="shared" si="3"/>
        <v>96.646765011856985</v>
      </c>
    </row>
    <row r="50" spans="1:9" ht="15" x14ac:dyDescent="0.25">
      <c r="A50" s="8" t="s">
        <v>78</v>
      </c>
      <c r="B50" s="10" t="s">
        <v>79</v>
      </c>
      <c r="C50" s="18">
        <v>3150</v>
      </c>
      <c r="D50" s="16">
        <v>2100</v>
      </c>
      <c r="E50" s="15">
        <v>3500</v>
      </c>
      <c r="F50" s="16">
        <f t="shared" si="1"/>
        <v>875</v>
      </c>
      <c r="G50" s="15">
        <v>2333.33</v>
      </c>
      <c r="H50" s="11">
        <f t="shared" si="2"/>
        <v>66.66657142857143</v>
      </c>
      <c r="I50" s="11">
        <f t="shared" si="3"/>
        <v>111.11095238095238</v>
      </c>
    </row>
    <row r="51" spans="1:9" ht="22.5" customHeight="1" x14ac:dyDescent="0.25">
      <c r="A51" s="8" t="s">
        <v>80</v>
      </c>
      <c r="B51" s="10" t="s">
        <v>81</v>
      </c>
      <c r="C51" s="18">
        <v>1750.8</v>
      </c>
      <c r="D51" s="16">
        <v>995.22</v>
      </c>
      <c r="E51" s="15">
        <v>1562</v>
      </c>
      <c r="F51" s="16">
        <f t="shared" si="1"/>
        <v>390.5</v>
      </c>
      <c r="G51" s="15">
        <v>658.1</v>
      </c>
      <c r="H51" s="11">
        <f t="shared" si="2"/>
        <v>42.131882202304737</v>
      </c>
      <c r="I51" s="11">
        <f t="shared" si="3"/>
        <v>66.126082675187391</v>
      </c>
    </row>
    <row r="52" spans="1:9" ht="58.5" hidden="1" customHeight="1" x14ac:dyDescent="0.25">
      <c r="A52" s="9" t="s">
        <v>82</v>
      </c>
      <c r="B52" s="10" t="s">
        <v>83</v>
      </c>
      <c r="C52" s="18"/>
      <c r="D52" s="14">
        <f t="shared" ref="D52:D54" si="16">C52/4</f>
        <v>0</v>
      </c>
      <c r="E52" s="14">
        <f>SUM(E53:E54)</f>
        <v>0</v>
      </c>
      <c r="F52" s="14">
        <f t="shared" si="1"/>
        <v>0</v>
      </c>
      <c r="G52" s="14">
        <f>SUM(G53:G54)</f>
        <v>0</v>
      </c>
      <c r="H52" s="11" t="e">
        <f t="shared" si="2"/>
        <v>#DIV/0!</v>
      </c>
      <c r="I52" s="11" t="e">
        <f t="shared" si="3"/>
        <v>#DIV/0!</v>
      </c>
    </row>
    <row r="53" spans="1:9" ht="33" hidden="1" customHeight="1" x14ac:dyDescent="0.25">
      <c r="A53" s="8" t="s">
        <v>84</v>
      </c>
      <c r="B53" s="10" t="s">
        <v>85</v>
      </c>
      <c r="C53" s="18"/>
      <c r="D53" s="14">
        <f t="shared" si="16"/>
        <v>0</v>
      </c>
      <c r="E53" s="18">
        <f>66395-66395</f>
        <v>0</v>
      </c>
      <c r="F53" s="14">
        <f t="shared" si="1"/>
        <v>0</v>
      </c>
      <c r="G53" s="18"/>
      <c r="H53" s="11" t="e">
        <f t="shared" si="2"/>
        <v>#DIV/0!</v>
      </c>
      <c r="I53" s="11" t="e">
        <f t="shared" si="3"/>
        <v>#DIV/0!</v>
      </c>
    </row>
    <row r="54" spans="1:9" ht="38.25" hidden="1" customHeight="1" x14ac:dyDescent="0.25">
      <c r="A54" s="8" t="s">
        <v>86</v>
      </c>
      <c r="B54" s="10" t="s">
        <v>87</v>
      </c>
      <c r="C54" s="14">
        <f>C51+C48+C46+C42+C39+C32+C25+C19+C15+C13+C5+C30</f>
        <v>2227467.5499999998</v>
      </c>
      <c r="D54" s="14">
        <f t="shared" si="16"/>
        <v>556866.88749999995</v>
      </c>
      <c r="E54" s="18"/>
      <c r="F54" s="14">
        <f t="shared" si="1"/>
        <v>0</v>
      </c>
      <c r="G54" s="18"/>
      <c r="H54" s="11" t="e">
        <f t="shared" si="2"/>
        <v>#DIV/0!</v>
      </c>
      <c r="I54" s="11">
        <f t="shared" si="3"/>
        <v>0</v>
      </c>
    </row>
    <row r="55" spans="1:9" ht="15" x14ac:dyDescent="0.25">
      <c r="A55" s="9" t="s">
        <v>88</v>
      </c>
      <c r="B55" s="12"/>
      <c r="C55" s="14">
        <f>C52+C49+C46+C42+C39+C32+C25+C19+C15+C13+C5+C30</f>
        <v>2230617.5499999998</v>
      </c>
      <c r="D55" s="14">
        <f t="shared" ref="D55:G55" si="17">D52+D49+D46+D42+D39+D32+D25+D19+D15+D13+D5+D30</f>
        <v>1420314.9300000004</v>
      </c>
      <c r="E55" s="14">
        <f t="shared" si="17"/>
        <v>2412183.36</v>
      </c>
      <c r="F55" s="14">
        <f t="shared" si="17"/>
        <v>590242.09250000003</v>
      </c>
      <c r="G55" s="14">
        <f t="shared" si="17"/>
        <v>1410532.5899999996</v>
      </c>
      <c r="H55" s="11">
        <f t="shared" si="2"/>
        <v>58.475346998496811</v>
      </c>
      <c r="I55" s="11">
        <f t="shared" si="3"/>
        <v>99.311255567805603</v>
      </c>
    </row>
  </sheetData>
  <mergeCells count="2">
    <mergeCell ref="A1:H1"/>
    <mergeCell ref="A2:H2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2020-08-20T07:05:53Z</cp:lastPrinted>
  <dcterms:created xsi:type="dcterms:W3CDTF">2017-05-25T10:54:37Z</dcterms:created>
  <dcterms:modified xsi:type="dcterms:W3CDTF">2020-10-06T10:59:25Z</dcterms:modified>
</cp:coreProperties>
</file>